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試算表 (計算用)" sheetId="1" r:id="rId1"/>
    <sheet name="試算表 (例)" sheetId="2" r:id="rId2"/>
    <sheet name="試算表計算用DB" sheetId="3" r:id="rId3"/>
  </sheets>
  <definedNames>
    <definedName name="_xlnm.Print_Area" localSheetId="0">'試算表 (計算用)'!$A$1:$AC$45</definedName>
    <definedName name="_xlnm.Print_Area" localSheetId="1">'試算表 (例)'!$A$1:$AC$45</definedName>
  </definedNames>
  <calcPr fullCalcOnLoad="1"/>
</workbook>
</file>

<file path=xl/comments1.xml><?xml version="1.0" encoding="utf-8"?>
<comments xmlns="http://schemas.openxmlformats.org/spreadsheetml/2006/main">
  <authors>
    <author>0481 二郷　浩和</author>
  </authors>
  <commentList>
    <comment ref="AN10" authorId="0">
      <text>
        <r>
          <rPr>
            <b/>
            <sz val="9"/>
            <rFont val="MS P ゴシック"/>
            <family val="3"/>
          </rPr>
          <t>昨年所得が、次のいずれかに該当
・給与所得がある
・年金所得がある（65歳未満）
・給与所得があり、年金所得が15万円以下（65歳以上）
・年金所得が15万円超（65歳以上）</t>
        </r>
      </text>
    </comment>
  </commentList>
</comments>
</file>

<file path=xl/comments2.xml><?xml version="1.0" encoding="utf-8"?>
<comments xmlns="http://schemas.openxmlformats.org/spreadsheetml/2006/main">
  <authors>
    <author>0481 二郷　浩和</author>
  </authors>
  <commentList>
    <comment ref="AN10" authorId="0">
      <text>
        <r>
          <rPr>
            <b/>
            <sz val="9"/>
            <rFont val="MS P ゴシック"/>
            <family val="3"/>
          </rPr>
          <t>昨年所得が、次のいずれかに該当
・給与所得がある
・年金所得がある（65歳未満）
・給与所得があり、年金所得が15万円以下（65歳以上）
・年金所得が15万円超（65歳以上）</t>
        </r>
      </text>
    </comment>
  </commentList>
</comments>
</file>

<file path=xl/sharedStrings.xml><?xml version="1.0" encoding="utf-8"?>
<sst xmlns="http://schemas.openxmlformats.org/spreadsheetml/2006/main" count="244" uniqueCount="93">
  <si>
    <t>■</t>
  </si>
  <si>
    <t>この試算表はあくまでも概算です。後日、国保税の更正決定通知書を送付いたします。</t>
  </si>
  <si>
    <t>応　　能</t>
  </si>
  <si>
    <t>①所得割</t>
  </si>
  <si>
    <t>A 医療分</t>
  </si>
  <si>
    <t>円</t>
  </si>
  <si>
    <r>
      <t>×</t>
    </r>
    <r>
      <rPr>
        <sz val="14"/>
        <rFont val="HGS創英角ｺﾞｼｯｸUB"/>
        <family val="3"/>
      </rPr>
      <t xml:space="preserve"> </t>
    </r>
    <r>
      <rPr>
        <b/>
        <sz val="16"/>
        <rFont val="HGS創英角ｺﾞｼｯｸUB"/>
        <family val="3"/>
      </rPr>
      <t>2.6</t>
    </r>
    <r>
      <rPr>
        <b/>
        <sz val="12"/>
        <rFont val="HGS創英角ｺﾞｼｯｸUB"/>
        <family val="3"/>
      </rPr>
      <t xml:space="preserve"> ％</t>
    </r>
  </si>
  <si>
    <t>A 支援分</t>
  </si>
  <si>
    <t>前年中の所得</t>
  </si>
  <si>
    <t>A 介護分</t>
  </si>
  <si>
    <t>◆</t>
  </si>
  <si>
    <t>所得のある方一人ずつ算出</t>
  </si>
  <si>
    <t>応　　益</t>
  </si>
  <si>
    <t>②均等割</t>
  </si>
  <si>
    <t>加入者1人当り</t>
  </si>
  <si>
    <t>円</t>
  </si>
  <si>
    <t>B 医療分</t>
  </si>
  <si>
    <t>加入者１人当り</t>
  </si>
  <si>
    <t>B 支援分</t>
  </si>
  <si>
    <t>被保険者数</t>
  </si>
  <si>
    <t>B 介護分</t>
  </si>
  <si>
    <t>③平等割</t>
  </si>
  <si>
    <t>1世帯当り</t>
  </si>
  <si>
    <t>C 医療分</t>
  </si>
  <si>
    <t>C 支援分</t>
  </si>
  <si>
    <t>世帯につき</t>
  </si>
  <si>
    <t>C 介護分</t>
  </si>
  <si>
    <t>◇４０歳未満の方</t>
  </si>
  <si>
    <t>イ</t>
  </si>
  <si>
    <t>医療分</t>
  </si>
  <si>
    <t>A+B+C</t>
  </si>
  <si>
    <t>限度額</t>
  </si>
  <si>
    <t>イ＋ロ</t>
  </si>
  <si>
    <t>◇６５歳以上７５歳未満の方</t>
  </si>
  <si>
    <t>ロ</t>
  </si>
  <si>
    <t>支援分</t>
  </si>
  <si>
    <t>A+B+C</t>
  </si>
  <si>
    <t>イ＋ロ　（※介護分は別納付）</t>
  </si>
  <si>
    <r>
      <t>◆</t>
    </r>
    <r>
      <rPr>
        <b/>
        <sz val="11"/>
        <rFont val="HG創英ﾌﾟﾚｾﾞﾝｽEB"/>
        <family val="1"/>
      </rPr>
      <t>４０歳以上６５歳未満の方</t>
    </r>
  </si>
  <si>
    <t>ハ</t>
  </si>
  <si>
    <t>介護分</t>
  </si>
  <si>
    <r>
      <t>イ＋ロ＋</t>
    </r>
    <r>
      <rPr>
        <b/>
        <sz val="11"/>
        <rFont val="HGS創英角ｺﾞｼｯｸUB"/>
        <family val="3"/>
      </rPr>
      <t>ハ</t>
    </r>
  </si>
  <si>
    <t>１年間の税額</t>
  </si>
  <si>
    <t>イ＋ロ＋ハ</t>
  </si>
  <si>
    <t>４月～翌年３月まで</t>
  </si>
  <si>
    <t>加入後の税額</t>
  </si>
  <si>
    <t>１ヶ月当り</t>
  </si>
  <si>
    <r>
      <t xml:space="preserve">１ </t>
    </r>
    <r>
      <rPr>
        <sz val="13"/>
        <rFont val="HGS創英角ﾎﾟｯﾌﾟ体"/>
        <family val="3"/>
      </rPr>
      <t>期当り</t>
    </r>
  </si>
  <si>
    <r>
      <t>×</t>
    </r>
    <r>
      <rPr>
        <sz val="14"/>
        <rFont val="HGS創英角ｺﾞｼｯｸUB"/>
        <family val="3"/>
      </rPr>
      <t xml:space="preserve"> </t>
    </r>
    <r>
      <rPr>
        <b/>
        <sz val="16"/>
        <rFont val="HGS創英角ｺﾞｼｯｸUB"/>
        <family val="3"/>
      </rPr>
      <t>2.6</t>
    </r>
    <r>
      <rPr>
        <b/>
        <sz val="12"/>
        <rFont val="HGS創英角ｺﾞｼｯｸUB"/>
        <family val="3"/>
      </rPr>
      <t xml:space="preserve"> ％</t>
    </r>
  </si>
  <si>
    <t>×</t>
  </si>
  <si>
    <t>人</t>
  </si>
  <si>
    <t>×</t>
  </si>
  <si>
    <t>イ</t>
  </si>
  <si>
    <t>A+B+C</t>
  </si>
  <si>
    <t>月から</t>
  </si>
  <si>
    <t>月まで</t>
  </si>
  <si>
    <t>《</t>
  </si>
  <si>
    <t>ヶ月分　》</t>
  </si>
  <si>
    <r>
      <t>×</t>
    </r>
    <r>
      <rPr>
        <sz val="14"/>
        <rFont val="HGS創英角ｺﾞｼｯｸUB"/>
        <family val="3"/>
      </rPr>
      <t xml:space="preserve"> </t>
    </r>
    <r>
      <rPr>
        <b/>
        <sz val="16"/>
        <rFont val="HGS創英角ｺﾞｼｯｸUB"/>
        <family val="3"/>
      </rPr>
      <t>7.0</t>
    </r>
    <r>
      <rPr>
        <b/>
        <sz val="12"/>
        <rFont val="HGS創英角ｺﾞｼｯｸUB"/>
        <family val="3"/>
      </rPr>
      <t xml:space="preserve"> ％</t>
    </r>
  </si>
  <si>
    <r>
      <t>×</t>
    </r>
    <r>
      <rPr>
        <sz val="14"/>
        <rFont val="HGS創英角ｺﾞｼｯｸUB"/>
        <family val="3"/>
      </rPr>
      <t xml:space="preserve"> </t>
    </r>
    <r>
      <rPr>
        <b/>
        <sz val="16"/>
        <rFont val="HGS創英角ｺﾞｼｯｸUB"/>
        <family val="3"/>
      </rPr>
      <t>2.2</t>
    </r>
    <r>
      <rPr>
        <b/>
        <sz val="12"/>
        <rFont val="HGS創英角ｺﾞｼｯｸUB"/>
        <family val="3"/>
      </rPr>
      <t xml:space="preserve"> ％</t>
    </r>
  </si>
  <si>
    <r>
      <t>（　　　　　　　　　　　　　　円－</t>
    </r>
    <r>
      <rPr>
        <sz val="14"/>
        <rFont val="ＭＳ Ｐ明朝"/>
        <family val="1"/>
      </rPr>
      <t>430,000</t>
    </r>
    <r>
      <rPr>
        <sz val="12"/>
        <rFont val="ＭＳ Ｐ明朝"/>
        <family val="1"/>
      </rPr>
      <t>円）</t>
    </r>
  </si>
  <si>
    <t>被保険者数</t>
  </si>
  <si>
    <t>介護該当者数</t>
  </si>
  <si>
    <t>税率</t>
  </si>
  <si>
    <t>医療分</t>
  </si>
  <si>
    <t>支援分</t>
  </si>
  <si>
    <t>介護分</t>
  </si>
  <si>
    <t>限度額</t>
  </si>
  <si>
    <t>基礎控除</t>
  </si>
  <si>
    <t>均等割</t>
  </si>
  <si>
    <t>平等割</t>
  </si>
  <si>
    <t>所得割基礎額</t>
  </si>
  <si>
    <t>区分</t>
  </si>
  <si>
    <t>介護該当</t>
  </si>
  <si>
    <t>軽減判定所得</t>
  </si>
  <si>
    <t>生年月日</t>
  </si>
  <si>
    <t>年齢</t>
  </si>
  <si>
    <t>給与所得者等の数</t>
  </si>
  <si>
    <t>給与所得者等の判定</t>
  </si>
  <si>
    <t>給与所得</t>
  </si>
  <si>
    <t>年金所得</t>
  </si>
  <si>
    <t>その他（事業等）</t>
  </si>
  <si>
    <t>軽減判定基準（７割軽減）</t>
  </si>
  <si>
    <t>軽減判定基準（５割軽減）</t>
  </si>
  <si>
    <t>軽減判定基準（２割軽減）</t>
  </si>
  <si>
    <t>介護所得割</t>
  </si>
  <si>
    <t>国民健康保険　税額試算表</t>
  </si>
  <si>
    <t>以降に出生した者を被保険者数から除く</t>
  </si>
  <si>
    <t>（令和４年中）</t>
  </si>
  <si>
    <t>国民健康保険　税額試算表（例）</t>
  </si>
  <si>
    <t>世帯主</t>
  </si>
  <si>
    <t>被保険者</t>
  </si>
  <si>
    <r>
      <rPr>
        <b/>
        <sz val="14"/>
        <rFont val="ＭＳ Ｐゴシック"/>
        <family val="3"/>
      </rPr>
      <t>試算手順</t>
    </r>
    <r>
      <rPr>
        <sz val="11"/>
        <rFont val="ＭＳ Ｐゴシック"/>
        <family val="3"/>
      </rPr>
      <t xml:space="preserve">
１．世帯主区分と被保険者の人数を選択
２．所得欄を入力（所得がない方は空欄のまま）
３．生年月日を入力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</si>
</sst>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[$-411]ge\.m\.d;@"/>
    <numFmt numFmtId="178" formatCode="[DBNum3]ggge&quot;年度&quot;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HG創英角ｺﾞｼｯｸUB"/>
      <family val="3"/>
    </font>
    <font>
      <sz val="16"/>
      <name val="HG創英角ﾎﾟｯﾌﾟ体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HGS創英角ｺﾞｼｯｸUB"/>
      <family val="3"/>
    </font>
    <font>
      <sz val="14"/>
      <name val="HGS創英角ｺﾞｼｯｸUB"/>
      <family val="3"/>
    </font>
    <font>
      <b/>
      <sz val="16"/>
      <name val="HGS創英角ｺﾞｼｯｸUB"/>
      <family val="3"/>
    </font>
    <font>
      <b/>
      <sz val="12"/>
      <name val="HGS創英角ｺﾞｼｯｸUB"/>
      <family val="3"/>
    </font>
    <font>
      <sz val="11"/>
      <name val="HGS創英角ｺﾞｼｯｸUB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HGS創英角ﾎﾟｯﾌﾟ体"/>
      <family val="3"/>
    </font>
    <font>
      <b/>
      <sz val="8"/>
      <name val="ＭＳ Ｐ明朝"/>
      <family val="1"/>
    </font>
    <font>
      <sz val="16"/>
      <name val="HG創英角ｺﾞｼｯｸUB"/>
      <family val="3"/>
    </font>
    <font>
      <sz val="14"/>
      <name val="HG創英角ｺﾞｼｯｸUB"/>
      <family val="3"/>
    </font>
    <font>
      <sz val="12"/>
      <name val="ＭＳ Ｐゴシック"/>
      <family val="3"/>
    </font>
    <font>
      <sz val="14"/>
      <name val="HG創英角ﾎﾟｯﾌﾟ体"/>
      <family val="3"/>
    </font>
    <font>
      <b/>
      <sz val="12"/>
      <name val="HG創英角ﾎﾟｯﾌﾟ体"/>
      <family val="3"/>
    </font>
    <font>
      <sz val="11"/>
      <name val="HG創英ﾌﾟﾚｾﾞﾝｽEB"/>
      <family val="1"/>
    </font>
    <font>
      <sz val="13"/>
      <name val="HG創英角ｺﾞｼｯｸUB"/>
      <family val="3"/>
    </font>
    <font>
      <b/>
      <sz val="11"/>
      <name val="HG創英ﾌﾟﾚｾﾞﾝｽEB"/>
      <family val="1"/>
    </font>
    <font>
      <b/>
      <sz val="11"/>
      <name val="HGS創英角ｺﾞｼｯｸUB"/>
      <family val="3"/>
    </font>
    <font>
      <sz val="13"/>
      <name val="HG創英角ﾎﾟｯﾌﾟ体"/>
      <family val="3"/>
    </font>
    <font>
      <sz val="16"/>
      <name val="HGS創英角ﾎﾟｯﾌﾟ体"/>
      <family val="3"/>
    </font>
    <font>
      <b/>
      <sz val="11"/>
      <name val="ＭＳ Ｐゴシック"/>
      <family val="3"/>
    </font>
    <font>
      <sz val="14"/>
      <name val="HGS創英角ﾎﾟｯﾌﾟ体"/>
      <family val="3"/>
    </font>
    <font>
      <sz val="13"/>
      <name val="HGS創英角ﾎﾟｯﾌﾟ体"/>
      <family val="3"/>
    </font>
    <font>
      <sz val="11"/>
      <name val="HG創英角ﾎﾟｯﾌﾟ体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24"/>
      <name val="HG創英角ﾎﾟｯﾌﾟ体"/>
      <family val="3"/>
    </font>
    <font>
      <sz val="24"/>
      <color indexed="18"/>
      <name val="HG創英角ﾎﾟｯﾌﾟ体"/>
      <family val="3"/>
    </font>
    <font>
      <sz val="11"/>
      <color indexed="9"/>
      <name val="ＭＳ Ｐゴシック"/>
      <family val="3"/>
    </font>
    <font>
      <sz val="12.5"/>
      <color indexed="9"/>
      <name val="HG創英ﾌﾟﾚｾﾞﾝｽEB"/>
      <family val="1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5"/>
      <color indexed="8"/>
      <name val="ＭＳ Ｐ明朝"/>
      <family val="1"/>
    </font>
    <font>
      <b/>
      <sz val="11.5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24"/>
      <color rgb="FF000099"/>
      <name val="HG創英角ﾎﾟｯﾌﾟ体"/>
      <family val="3"/>
    </font>
    <font>
      <sz val="12.5"/>
      <color theme="0"/>
      <name val="HG創英ﾌﾟﾚｾﾞﾝｽEB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/>
      <bottom style="hair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 vertical="center"/>
      <protection/>
    </xf>
    <xf numFmtId="0" fontId="73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3" fillId="0" borderId="0" xfId="6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3" fillId="0" borderId="10" xfId="61" applyBorder="1">
      <alignment vertical="center"/>
      <protection/>
    </xf>
    <xf numFmtId="0" fontId="3" fillId="0" borderId="11" xfId="61" applyBorder="1">
      <alignment vertical="center"/>
      <protection/>
    </xf>
    <xf numFmtId="0" fontId="3" fillId="0" borderId="12" xfId="61" applyBorder="1">
      <alignment vertical="center"/>
      <protection/>
    </xf>
    <xf numFmtId="0" fontId="3" fillId="0" borderId="13" xfId="61" applyBorder="1">
      <alignment vertical="center"/>
      <protection/>
    </xf>
    <xf numFmtId="0" fontId="3" fillId="0" borderId="14" xfId="61" applyBorder="1">
      <alignment vertical="center"/>
      <protection/>
    </xf>
    <xf numFmtId="0" fontId="3" fillId="0" borderId="15" xfId="61" applyBorder="1">
      <alignment vertical="center"/>
      <protection/>
    </xf>
    <xf numFmtId="0" fontId="3" fillId="0" borderId="16" xfId="61" applyBorder="1">
      <alignment vertical="center"/>
      <protection/>
    </xf>
    <xf numFmtId="0" fontId="3" fillId="0" borderId="17" xfId="61" applyBorder="1">
      <alignment vertical="center"/>
      <protection/>
    </xf>
    <xf numFmtId="0" fontId="3" fillId="33" borderId="0" xfId="61" applyFill="1">
      <alignment vertical="center"/>
      <protection/>
    </xf>
    <xf numFmtId="0" fontId="3" fillId="34" borderId="0" xfId="61" applyFill="1">
      <alignment vertical="center"/>
      <protection/>
    </xf>
    <xf numFmtId="0" fontId="23" fillId="34" borderId="0" xfId="61" applyFont="1" applyFill="1">
      <alignment vertical="center"/>
      <protection/>
    </xf>
    <xf numFmtId="0" fontId="23" fillId="33" borderId="0" xfId="61" applyFont="1" applyFill="1">
      <alignment vertical="center"/>
      <protection/>
    </xf>
    <xf numFmtId="0" fontId="25" fillId="33" borderId="0" xfId="61" applyFont="1" applyFill="1">
      <alignment vertical="center"/>
      <protection/>
    </xf>
    <xf numFmtId="0" fontId="14" fillId="0" borderId="18" xfId="61" applyFont="1" applyBorder="1">
      <alignment vertical="center"/>
      <protection/>
    </xf>
    <xf numFmtId="0" fontId="14" fillId="0" borderId="19" xfId="61" applyFont="1" applyBorder="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76" fontId="3" fillId="35" borderId="21" xfId="61" applyNumberFormat="1" applyFill="1" applyBorder="1" applyAlignment="1">
      <alignment vertical="top"/>
      <protection/>
    </xf>
    <xf numFmtId="176" fontId="3" fillId="35" borderId="10" xfId="61" applyNumberFormat="1" applyFill="1" applyBorder="1" applyAlignment="1">
      <alignment vertical="top"/>
      <protection/>
    </xf>
    <xf numFmtId="0" fontId="29" fillId="0" borderId="22" xfId="61" applyFont="1" applyBorder="1" applyAlignment="1">
      <alignment vertical="center"/>
      <protection/>
    </xf>
    <xf numFmtId="0" fontId="29" fillId="0" borderId="11" xfId="61" applyFont="1" applyBorder="1" applyAlignment="1">
      <alignment vertical="center"/>
      <protection/>
    </xf>
    <xf numFmtId="0" fontId="29" fillId="0" borderId="11" xfId="61" applyFont="1" applyBorder="1" applyAlignment="1">
      <alignment horizontal="left" vertical="center" shrinkToFit="1"/>
      <protection/>
    </xf>
    <xf numFmtId="0" fontId="3" fillId="0" borderId="0" xfId="61">
      <alignment vertical="center"/>
      <protection/>
    </xf>
    <xf numFmtId="38" fontId="3" fillId="0" borderId="23" xfId="48" applyFont="1" applyBorder="1" applyAlignment="1">
      <alignment vertical="center"/>
    </xf>
    <xf numFmtId="0" fontId="3" fillId="0" borderId="0" xfId="61" applyFill="1" applyBorder="1">
      <alignment vertical="center"/>
      <protection/>
    </xf>
    <xf numFmtId="0" fontId="3" fillId="0" borderId="0" xfId="61">
      <alignment vertical="center"/>
      <protection/>
    </xf>
    <xf numFmtId="0" fontId="3" fillId="35" borderId="24" xfId="61" applyFill="1" applyBorder="1">
      <alignment vertical="center"/>
      <protection/>
    </xf>
    <xf numFmtId="0" fontId="3" fillId="0" borderId="23" xfId="61" applyBorder="1">
      <alignment vertical="center"/>
      <protection/>
    </xf>
    <xf numFmtId="0" fontId="3" fillId="0" borderId="23" xfId="61" applyBorder="1" applyAlignment="1">
      <alignment horizontal="center" vertical="center"/>
      <protection/>
    </xf>
    <xf numFmtId="38" fontId="3" fillId="35" borderId="24" xfId="48" applyFont="1" applyFill="1" applyBorder="1" applyAlignment="1">
      <alignment vertical="center"/>
    </xf>
    <xf numFmtId="38" fontId="3" fillId="0" borderId="24" xfId="61" applyNumberFormat="1" applyBorder="1">
      <alignment vertical="center"/>
      <protection/>
    </xf>
    <xf numFmtId="177" fontId="3" fillId="35" borderId="24" xfId="48" applyNumberFormat="1" applyFont="1" applyFill="1" applyBorder="1" applyAlignment="1">
      <alignment vertical="center"/>
    </xf>
    <xf numFmtId="0" fontId="3" fillId="0" borderId="25" xfId="61" applyFill="1" applyBorder="1">
      <alignment vertical="center"/>
      <protection/>
    </xf>
    <xf numFmtId="38" fontId="3" fillId="0" borderId="25" xfId="48" applyFont="1" applyFill="1" applyBorder="1" applyAlignment="1">
      <alignment vertical="center"/>
    </xf>
    <xf numFmtId="38" fontId="3" fillId="0" borderId="0" xfId="61" applyNumberFormat="1" applyBorder="1">
      <alignment vertical="center"/>
      <protection/>
    </xf>
    <xf numFmtId="0" fontId="3" fillId="0" borderId="0" xfId="61" applyFill="1" applyBorder="1" applyAlignment="1">
      <alignment vertical="center" shrinkToFit="1"/>
      <protection/>
    </xf>
    <xf numFmtId="38" fontId="3" fillId="0" borderId="25" xfId="61" applyNumberFormat="1" applyBorder="1">
      <alignment vertical="center"/>
      <protection/>
    </xf>
    <xf numFmtId="38" fontId="3" fillId="36" borderId="23" xfId="48" applyFont="1" applyFill="1" applyBorder="1" applyAlignment="1">
      <alignment vertical="center" shrinkToFit="1"/>
    </xf>
    <xf numFmtId="0" fontId="3" fillId="0" borderId="23" xfId="61" applyFill="1" applyBorder="1">
      <alignment vertical="center"/>
      <protection/>
    </xf>
    <xf numFmtId="38" fontId="3" fillId="0" borderId="23" xfId="61" applyNumberFormat="1" applyBorder="1">
      <alignment vertical="center"/>
      <protection/>
    </xf>
    <xf numFmtId="0" fontId="3" fillId="0" borderId="0" xfId="61">
      <alignment vertical="center"/>
      <protection/>
    </xf>
    <xf numFmtId="0" fontId="3" fillId="0" borderId="23" xfId="61" applyBorder="1" applyAlignment="1">
      <alignment vertical="center" shrinkToFit="1"/>
      <protection/>
    </xf>
    <xf numFmtId="38" fontId="74" fillId="0" borderId="0" xfId="48" applyFont="1" applyAlignment="1">
      <alignment horizontal="center" vertical="center"/>
    </xf>
    <xf numFmtId="38" fontId="3" fillId="0" borderId="26" xfId="48" applyFont="1" applyBorder="1" applyAlignment="1">
      <alignment vertical="center"/>
    </xf>
    <xf numFmtId="0" fontId="36" fillId="0" borderId="0" xfId="61" applyFont="1" applyAlignment="1">
      <alignment vertical="center"/>
      <protection/>
    </xf>
    <xf numFmtId="177" fontId="29" fillId="0" borderId="0" xfId="61" applyNumberFormat="1" applyFont="1" applyFill="1" applyBorder="1">
      <alignment vertical="center"/>
      <protection/>
    </xf>
    <xf numFmtId="0" fontId="29" fillId="0" borderId="0" xfId="61" applyFont="1" applyFill="1" applyBorder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2" fillId="0" borderId="0" xfId="61" applyFont="1" applyAlignment="1">
      <alignment vertical="center"/>
      <protection/>
    </xf>
    <xf numFmtId="0" fontId="14" fillId="0" borderId="18" xfId="61" applyFont="1" applyBorder="1">
      <alignment vertical="center"/>
      <protection/>
    </xf>
    <xf numFmtId="0" fontId="14" fillId="0" borderId="19" xfId="61" applyFont="1" applyBorder="1">
      <alignment vertical="center"/>
      <protection/>
    </xf>
    <xf numFmtId="0" fontId="3" fillId="0" borderId="10" xfId="61" applyBorder="1">
      <alignment vertical="center"/>
      <protection/>
    </xf>
    <xf numFmtId="0" fontId="23" fillId="34" borderId="0" xfId="61" applyFont="1" applyFill="1">
      <alignment vertical="center"/>
      <protection/>
    </xf>
    <xf numFmtId="0" fontId="3" fillId="0" borderId="13" xfId="61" applyBorder="1">
      <alignment vertical="center"/>
      <protection/>
    </xf>
    <xf numFmtId="0" fontId="3" fillId="0" borderId="0" xfId="61">
      <alignment vertical="center"/>
      <protection/>
    </xf>
    <xf numFmtId="0" fontId="75" fillId="0" borderId="0" xfId="61" applyFont="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0" fontId="76" fillId="0" borderId="0" xfId="61" applyFont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13" fillId="0" borderId="27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13" fillId="0" borderId="28" xfId="61" applyFont="1" applyBorder="1" applyAlignment="1">
      <alignment vertical="center"/>
      <protection/>
    </xf>
    <xf numFmtId="0" fontId="13" fillId="0" borderId="29" xfId="61" applyFont="1" applyBorder="1" applyAlignment="1">
      <alignment vertical="center"/>
      <protection/>
    </xf>
    <xf numFmtId="0" fontId="13" fillId="0" borderId="30" xfId="61" applyFont="1" applyBorder="1" applyAlignment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38" fontId="18" fillId="0" borderId="31" xfId="50" applyFont="1" applyBorder="1" applyAlignment="1">
      <alignment horizontal="right" vertical="center"/>
    </xf>
    <xf numFmtId="38" fontId="18" fillId="0" borderId="32" xfId="50" applyFont="1" applyBorder="1" applyAlignment="1">
      <alignment horizontal="right" vertical="center"/>
    </xf>
    <xf numFmtId="38" fontId="18" fillId="0" borderId="33" xfId="50" applyFont="1" applyBorder="1" applyAlignment="1">
      <alignment horizontal="right" vertical="center"/>
    </xf>
    <xf numFmtId="38" fontId="18" fillId="0" borderId="34" xfId="50" applyFont="1" applyBorder="1" applyAlignment="1">
      <alignment horizontal="right" vertical="center"/>
    </xf>
    <xf numFmtId="38" fontId="18" fillId="0" borderId="35" xfId="50" applyFont="1" applyBorder="1" applyAlignment="1">
      <alignment horizontal="right" vertical="center"/>
    </xf>
    <xf numFmtId="38" fontId="18" fillId="0" borderId="36" xfId="50" applyFont="1" applyBorder="1" applyAlignment="1">
      <alignment horizontal="right" vertical="center"/>
    </xf>
    <xf numFmtId="0" fontId="14" fillId="0" borderId="37" xfId="61" applyFont="1" applyBorder="1">
      <alignment vertical="center"/>
      <protection/>
    </xf>
    <xf numFmtId="0" fontId="14" fillId="0" borderId="19" xfId="61" applyFont="1" applyBorder="1">
      <alignment vertical="center"/>
      <protection/>
    </xf>
    <xf numFmtId="0" fontId="17" fillId="37" borderId="38" xfId="61" applyFont="1" applyFill="1" applyBorder="1" applyAlignment="1">
      <alignment horizontal="center" vertical="top"/>
      <protection/>
    </xf>
    <xf numFmtId="0" fontId="17" fillId="37" borderId="13" xfId="61" applyFont="1" applyFill="1" applyBorder="1" applyAlignment="1">
      <alignment horizontal="center" vertical="top"/>
      <protection/>
    </xf>
    <xf numFmtId="0" fontId="17" fillId="37" borderId="20" xfId="61" applyFont="1" applyFill="1" applyBorder="1" applyAlignment="1">
      <alignment horizontal="center" vertical="top"/>
      <protection/>
    </xf>
    <xf numFmtId="0" fontId="77" fillId="0" borderId="0" xfId="61" applyFont="1" applyFill="1" applyAlignment="1">
      <alignment horizontal="left" vertical="center"/>
      <protection/>
    </xf>
    <xf numFmtId="0" fontId="5" fillId="37" borderId="26" xfId="61" applyFont="1" applyFill="1" applyBorder="1" applyAlignment="1">
      <alignment vertical="center" textRotation="255"/>
      <protection/>
    </xf>
    <xf numFmtId="0" fontId="5" fillId="37" borderId="39" xfId="61" applyFont="1" applyFill="1" applyBorder="1" applyAlignment="1">
      <alignment vertical="center" textRotation="255"/>
      <protection/>
    </xf>
    <xf numFmtId="0" fontId="5" fillId="37" borderId="40" xfId="61" applyFont="1" applyFill="1" applyBorder="1" applyAlignment="1">
      <alignment vertical="center" textRotation="255"/>
      <protection/>
    </xf>
    <xf numFmtId="0" fontId="6" fillId="37" borderId="26" xfId="61" applyFont="1" applyFill="1" applyBorder="1" applyAlignment="1">
      <alignment horizontal="center" vertical="center"/>
      <protection/>
    </xf>
    <xf numFmtId="0" fontId="6" fillId="37" borderId="39" xfId="61" applyFont="1" applyFill="1" applyBorder="1" applyAlignment="1">
      <alignment horizontal="center" vertical="center"/>
      <protection/>
    </xf>
    <xf numFmtId="0" fontId="7" fillId="0" borderId="41" xfId="61" applyFont="1" applyBorder="1" applyAlignment="1">
      <alignment horizontal="distributed" vertical="top"/>
      <protection/>
    </xf>
    <xf numFmtId="0" fontId="7" fillId="0" borderId="42" xfId="61" applyFont="1" applyBorder="1" applyAlignment="1">
      <alignment horizontal="distributed" vertical="top"/>
      <protection/>
    </xf>
    <xf numFmtId="0" fontId="7" fillId="0" borderId="43" xfId="61" applyFont="1" applyBorder="1" applyAlignment="1">
      <alignment horizontal="distributed" vertical="top"/>
      <protection/>
    </xf>
    <xf numFmtId="0" fontId="7" fillId="0" borderId="44" xfId="61" applyFont="1" applyBorder="1" applyAlignment="1">
      <alignment horizontal="distributed" vertical="top"/>
      <protection/>
    </xf>
    <xf numFmtId="0" fontId="7" fillId="0" borderId="45" xfId="61" applyFont="1" applyBorder="1" applyAlignment="1">
      <alignment horizontal="distributed" vertical="top"/>
      <protection/>
    </xf>
    <xf numFmtId="0" fontId="7" fillId="0" borderId="46" xfId="61" applyFont="1" applyBorder="1" applyAlignment="1">
      <alignment horizontal="distributed" vertical="top"/>
      <protection/>
    </xf>
    <xf numFmtId="0" fontId="9" fillId="0" borderId="47" xfId="61" applyFont="1" applyBorder="1" applyAlignment="1">
      <alignment vertical="center"/>
      <protection/>
    </xf>
    <xf numFmtId="0" fontId="13" fillId="0" borderId="42" xfId="61" applyFont="1" applyBorder="1" applyAlignment="1">
      <alignment vertical="center"/>
      <protection/>
    </xf>
    <xf numFmtId="0" fontId="13" fillId="0" borderId="43" xfId="61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0" fontId="13" fillId="0" borderId="48" xfId="61" applyFont="1" applyBorder="1" applyAlignment="1">
      <alignment vertical="center"/>
      <protection/>
    </xf>
    <xf numFmtId="0" fontId="13" fillId="0" borderId="49" xfId="61" applyFont="1" applyBorder="1" applyAlignment="1">
      <alignment vertical="center"/>
      <protection/>
    </xf>
    <xf numFmtId="0" fontId="14" fillId="0" borderId="42" xfId="61" applyFont="1" applyBorder="1" applyAlignment="1">
      <alignment horizontal="center" vertical="center"/>
      <protection/>
    </xf>
    <xf numFmtId="0" fontId="14" fillId="0" borderId="48" xfId="61" applyFont="1" applyBorder="1" applyAlignment="1">
      <alignment horizontal="center" vertical="center"/>
      <protection/>
    </xf>
    <xf numFmtId="38" fontId="18" fillId="0" borderId="47" xfId="50" applyFont="1" applyBorder="1" applyAlignment="1">
      <alignment vertical="center"/>
    </xf>
    <xf numFmtId="38" fontId="18" fillId="0" borderId="42" xfId="50" applyFont="1" applyBorder="1" applyAlignment="1">
      <alignment vertical="center"/>
    </xf>
    <xf numFmtId="38" fontId="18" fillId="0" borderId="43" xfId="50" applyFont="1" applyBorder="1" applyAlignment="1">
      <alignment vertical="center"/>
    </xf>
    <xf numFmtId="38" fontId="18" fillId="0" borderId="16" xfId="50" applyFont="1" applyBorder="1" applyAlignment="1">
      <alignment vertical="center"/>
    </xf>
    <xf numFmtId="38" fontId="18" fillId="0" borderId="48" xfId="50" applyFont="1" applyBorder="1" applyAlignment="1">
      <alignment vertical="center"/>
    </xf>
    <xf numFmtId="38" fontId="18" fillId="0" borderId="49" xfId="50" applyFont="1" applyBorder="1" applyAlignment="1">
      <alignment vertical="center"/>
    </xf>
    <xf numFmtId="0" fontId="14" fillId="0" borderId="50" xfId="61" applyFont="1" applyBorder="1">
      <alignment vertical="center"/>
      <protection/>
    </xf>
    <xf numFmtId="0" fontId="14" fillId="0" borderId="51" xfId="61" applyFont="1" applyBorder="1">
      <alignment vertical="center"/>
      <protection/>
    </xf>
    <xf numFmtId="0" fontId="9" fillId="0" borderId="52" xfId="61" applyFont="1" applyBorder="1" applyAlignment="1">
      <alignment vertical="center"/>
      <protection/>
    </xf>
    <xf numFmtId="0" fontId="13" fillId="0" borderId="45" xfId="61" applyFont="1" applyBorder="1" applyAlignment="1">
      <alignment vertical="center"/>
      <protection/>
    </xf>
    <xf numFmtId="0" fontId="13" fillId="0" borderId="46" xfId="61" applyFont="1" applyBorder="1" applyAlignment="1">
      <alignment vertical="center"/>
      <protection/>
    </xf>
    <xf numFmtId="0" fontId="13" fillId="0" borderId="52" xfId="61" applyFont="1" applyBorder="1" applyAlignment="1">
      <alignment vertical="center"/>
      <protection/>
    </xf>
    <xf numFmtId="0" fontId="14" fillId="0" borderId="45" xfId="61" applyFont="1" applyBorder="1" applyAlignment="1">
      <alignment horizontal="center" vertical="center"/>
      <protection/>
    </xf>
    <xf numFmtId="38" fontId="18" fillId="0" borderId="52" xfId="50" applyFont="1" applyBorder="1" applyAlignment="1">
      <alignment vertical="center"/>
    </xf>
    <xf numFmtId="38" fontId="18" fillId="0" borderId="45" xfId="50" applyFont="1" applyBorder="1" applyAlignment="1">
      <alignment vertical="center"/>
    </xf>
    <xf numFmtId="38" fontId="18" fillId="0" borderId="46" xfId="50" applyFont="1" applyBorder="1" applyAlignment="1">
      <alignment vertical="center"/>
    </xf>
    <xf numFmtId="0" fontId="14" fillId="0" borderId="18" xfId="61" applyFont="1" applyBorder="1">
      <alignment vertical="center"/>
      <protection/>
    </xf>
    <xf numFmtId="0" fontId="15" fillId="37" borderId="53" xfId="61" applyFont="1" applyFill="1" applyBorder="1" applyAlignment="1">
      <alignment horizontal="center" vertical="center"/>
      <protection/>
    </xf>
    <xf numFmtId="0" fontId="15" fillId="37" borderId="0" xfId="61" applyFont="1" applyFill="1" applyBorder="1" applyAlignment="1">
      <alignment horizontal="center" vertical="center"/>
      <protection/>
    </xf>
    <xf numFmtId="0" fontId="15" fillId="37" borderId="54" xfId="61" applyFont="1" applyFill="1" applyBorder="1" applyAlignment="1">
      <alignment horizontal="center" vertical="center"/>
      <protection/>
    </xf>
    <xf numFmtId="0" fontId="16" fillId="37" borderId="53" xfId="61" applyFont="1" applyFill="1" applyBorder="1" applyAlignment="1">
      <alignment horizontal="center" vertical="center"/>
      <protection/>
    </xf>
    <xf numFmtId="0" fontId="16" fillId="37" borderId="0" xfId="61" applyFont="1" applyFill="1" applyBorder="1" applyAlignment="1">
      <alignment horizontal="center" vertical="center"/>
      <protection/>
    </xf>
    <xf numFmtId="0" fontId="16" fillId="37" borderId="54" xfId="61" applyFont="1" applyFill="1" applyBorder="1" applyAlignment="1">
      <alignment horizontal="center" vertical="center"/>
      <protection/>
    </xf>
    <xf numFmtId="0" fontId="7" fillId="0" borderId="55" xfId="61" applyFont="1" applyBorder="1" applyAlignment="1">
      <alignment horizontal="distributed" vertical="top"/>
      <protection/>
    </xf>
    <xf numFmtId="0" fontId="7" fillId="0" borderId="29" xfId="61" applyFont="1" applyBorder="1" applyAlignment="1">
      <alignment horizontal="distributed" vertical="top"/>
      <protection/>
    </xf>
    <xf numFmtId="0" fontId="7" fillId="0" borderId="30" xfId="61" applyFont="1" applyBorder="1" applyAlignment="1">
      <alignment horizontal="distributed" vertical="top"/>
      <protection/>
    </xf>
    <xf numFmtId="178" fontId="76" fillId="0" borderId="0" xfId="61" applyNumberFormat="1" applyFont="1" applyAlignment="1">
      <alignment horizontal="center" vertical="center"/>
      <protection/>
    </xf>
    <xf numFmtId="38" fontId="18" fillId="0" borderId="12" xfId="50" applyFont="1" applyBorder="1" applyAlignment="1">
      <alignment horizontal="center" vertical="center"/>
    </xf>
    <xf numFmtId="38" fontId="18" fillId="0" borderId="11" xfId="50" applyFont="1" applyBorder="1" applyAlignment="1">
      <alignment horizontal="center" vertical="center"/>
    </xf>
    <xf numFmtId="0" fontId="22" fillId="0" borderId="16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horizontal="center" vertical="center"/>
      <protection/>
    </xf>
    <xf numFmtId="0" fontId="14" fillId="0" borderId="32" xfId="61" applyFont="1" applyBorder="1" applyAlignment="1">
      <alignment horizontal="center" vertical="center"/>
      <protection/>
    </xf>
    <xf numFmtId="0" fontId="14" fillId="0" borderId="44" xfId="61" applyFont="1" applyBorder="1" applyAlignment="1">
      <alignment horizontal="center" vertical="center"/>
      <protection/>
    </xf>
    <xf numFmtId="38" fontId="18" fillId="0" borderId="10" xfId="50" applyFont="1" applyFill="1" applyBorder="1" applyAlignment="1">
      <alignment horizontal="center" vertical="center"/>
    </xf>
    <xf numFmtId="38" fontId="18" fillId="0" borderId="0" xfId="50" applyFont="1" applyFill="1" applyBorder="1" applyAlignment="1">
      <alignment horizontal="center" vertical="center"/>
    </xf>
    <xf numFmtId="0" fontId="22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14" fillId="0" borderId="56" xfId="61" applyFont="1" applyBorder="1" applyAlignment="1">
      <alignment horizontal="center" vertical="center"/>
      <protection/>
    </xf>
    <xf numFmtId="0" fontId="14" fillId="0" borderId="57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 vertical="center"/>
      <protection/>
    </xf>
    <xf numFmtId="38" fontId="18" fillId="0" borderId="50" xfId="50" applyFont="1" applyBorder="1" applyAlignment="1">
      <alignment horizontal="right" vertical="center"/>
    </xf>
    <xf numFmtId="38" fontId="18" fillId="0" borderId="57" xfId="50" applyFont="1" applyBorder="1" applyAlignment="1">
      <alignment horizontal="right" vertical="center"/>
    </xf>
    <xf numFmtId="38" fontId="18" fillId="0" borderId="58" xfId="50" applyFont="1" applyBorder="1" applyAlignment="1">
      <alignment horizontal="right" vertical="center"/>
    </xf>
    <xf numFmtId="38" fontId="18" fillId="0" borderId="51" xfId="50" applyFont="1" applyBorder="1" applyAlignment="1">
      <alignment horizontal="right" vertical="center"/>
    </xf>
    <xf numFmtId="38" fontId="18" fillId="0" borderId="59" xfId="50" applyFont="1" applyBorder="1" applyAlignment="1">
      <alignment horizontal="right" vertical="center"/>
    </xf>
    <xf numFmtId="38" fontId="18" fillId="0" borderId="60" xfId="50" applyFont="1" applyBorder="1" applyAlignment="1">
      <alignment horizontal="right" vertical="center"/>
    </xf>
    <xf numFmtId="0" fontId="5" fillId="38" borderId="26" xfId="61" applyFont="1" applyFill="1" applyBorder="1" applyAlignment="1">
      <alignment vertical="center" textRotation="255"/>
      <protection/>
    </xf>
    <xf numFmtId="0" fontId="5" fillId="38" borderId="39" xfId="61" applyFont="1" applyFill="1" applyBorder="1" applyAlignment="1">
      <alignment vertical="center" textRotation="255"/>
      <protection/>
    </xf>
    <xf numFmtId="0" fontId="5" fillId="38" borderId="40" xfId="61" applyFont="1" applyFill="1" applyBorder="1" applyAlignment="1">
      <alignment vertical="center" textRotation="255"/>
      <protection/>
    </xf>
    <xf numFmtId="0" fontId="6" fillId="38" borderId="26" xfId="61" applyFont="1" applyFill="1" applyBorder="1" applyAlignment="1">
      <alignment horizontal="center" vertical="center"/>
      <protection/>
    </xf>
    <xf numFmtId="0" fontId="6" fillId="38" borderId="39" xfId="61" applyFont="1" applyFill="1" applyBorder="1" applyAlignment="1">
      <alignment horizontal="center" vertical="center"/>
      <protection/>
    </xf>
    <xf numFmtId="0" fontId="3" fillId="0" borderId="57" xfId="61" applyBorder="1" applyAlignment="1">
      <alignment horizontal="center" vertical="center"/>
      <protection/>
    </xf>
    <xf numFmtId="0" fontId="3" fillId="0" borderId="58" xfId="61" applyBorder="1" applyAlignment="1">
      <alignment horizontal="center" vertical="center"/>
      <protection/>
    </xf>
    <xf numFmtId="0" fontId="3" fillId="0" borderId="32" xfId="61" applyBorder="1" applyAlignment="1">
      <alignment horizontal="center" vertical="center"/>
      <protection/>
    </xf>
    <xf numFmtId="0" fontId="3" fillId="0" borderId="33" xfId="61" applyBorder="1" applyAlignment="1">
      <alignment horizontal="center" vertical="center"/>
      <protection/>
    </xf>
    <xf numFmtId="3" fontId="18" fillId="0" borderId="61" xfId="61" applyNumberFormat="1" applyFont="1" applyBorder="1" applyAlignment="1">
      <alignment horizontal="right" vertical="center"/>
      <protection/>
    </xf>
    <xf numFmtId="0" fontId="19" fillId="0" borderId="61" xfId="61" applyFont="1" applyBorder="1" applyAlignment="1">
      <alignment horizontal="right" vertical="center"/>
      <protection/>
    </xf>
    <xf numFmtId="0" fontId="19" fillId="0" borderId="62" xfId="61" applyFont="1" applyBorder="1" applyAlignment="1">
      <alignment horizontal="right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3" fontId="18" fillId="0" borderId="62" xfId="61" applyNumberFormat="1" applyFont="1" applyBorder="1" applyAlignment="1">
      <alignment horizontal="right" vertical="center"/>
      <protection/>
    </xf>
    <xf numFmtId="0" fontId="14" fillId="0" borderId="46" xfId="61" applyFont="1" applyBorder="1" applyAlignment="1">
      <alignment horizontal="center" vertical="center"/>
      <protection/>
    </xf>
    <xf numFmtId="0" fontId="14" fillId="0" borderId="62" xfId="61" applyFont="1" applyBorder="1" applyAlignment="1">
      <alignment horizontal="center" vertical="center"/>
      <protection/>
    </xf>
    <xf numFmtId="0" fontId="14" fillId="0" borderId="52" xfId="61" applyFont="1" applyBorder="1" applyAlignment="1">
      <alignment horizontal="center" vertical="center"/>
      <protection/>
    </xf>
    <xf numFmtId="0" fontId="15" fillId="38" borderId="39" xfId="61" applyFont="1" applyFill="1" applyBorder="1" applyAlignment="1">
      <alignment horizontal="center" vertical="center"/>
      <protection/>
    </xf>
    <xf numFmtId="0" fontId="15" fillId="38" borderId="40" xfId="61" applyFont="1" applyFill="1" applyBorder="1" applyAlignment="1">
      <alignment horizontal="center" vertical="center"/>
      <protection/>
    </xf>
    <xf numFmtId="0" fontId="3" fillId="0" borderId="62" xfId="61" applyBorder="1" applyAlignment="1">
      <alignment horizontal="center" vertical="center"/>
      <protection/>
    </xf>
    <xf numFmtId="0" fontId="3" fillId="0" borderId="36" xfId="61" applyBorder="1" applyAlignment="1">
      <alignment horizontal="center" vertical="center"/>
      <protection/>
    </xf>
    <xf numFmtId="0" fontId="3" fillId="0" borderId="63" xfId="61" applyBorder="1" applyAlignment="1">
      <alignment horizontal="center" vertical="center"/>
      <protection/>
    </xf>
    <xf numFmtId="0" fontId="19" fillId="0" borderId="63" xfId="61" applyFont="1" applyBorder="1" applyAlignment="1">
      <alignment horizontal="right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61" xfId="61" applyBorder="1" applyAlignment="1">
      <alignment horizontal="center" vertical="center"/>
      <protection/>
    </xf>
    <xf numFmtId="0" fontId="14" fillId="0" borderId="43" xfId="61" applyFont="1" applyBorder="1" applyAlignment="1">
      <alignment horizontal="center" vertical="center"/>
      <protection/>
    </xf>
    <xf numFmtId="0" fontId="14" fillId="0" borderId="61" xfId="61" applyFont="1" applyBorder="1" applyAlignment="1">
      <alignment horizontal="center" vertical="center"/>
      <protection/>
    </xf>
    <xf numFmtId="0" fontId="14" fillId="0" borderId="4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35" xfId="61" applyBorder="1" applyAlignment="1">
      <alignment horizontal="center" vertical="center"/>
      <protection/>
    </xf>
    <xf numFmtId="38" fontId="18" fillId="0" borderId="0" xfId="50" applyFont="1" applyBorder="1" applyAlignment="1">
      <alignment horizontal="center" vertical="center"/>
    </xf>
    <xf numFmtId="0" fontId="20" fillId="0" borderId="12" xfId="61" applyFont="1" applyBorder="1" applyAlignment="1">
      <alignment horizontal="center" vertical="center"/>
      <protection/>
    </xf>
    <xf numFmtId="38" fontId="33" fillId="0" borderId="13" xfId="50" applyFont="1" applyBorder="1" applyAlignment="1">
      <alignment vertical="center"/>
    </xf>
    <xf numFmtId="0" fontId="21" fillId="0" borderId="64" xfId="61" applyFont="1" applyBorder="1" applyAlignment="1">
      <alignment horizontal="center" vertical="center"/>
      <protection/>
    </xf>
    <xf numFmtId="0" fontId="21" fillId="0" borderId="38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distributed" vertical="center"/>
      <protection/>
    </xf>
    <xf numFmtId="0" fontId="24" fillId="0" borderId="13" xfId="61" applyFont="1" applyBorder="1" applyAlignment="1">
      <alignment horizontal="distributed" vertical="center"/>
      <protection/>
    </xf>
    <xf numFmtId="0" fontId="3" fillId="0" borderId="10" xfId="61" applyBorder="1">
      <alignment vertical="center"/>
      <protection/>
    </xf>
    <xf numFmtId="0" fontId="3" fillId="0" borderId="65" xfId="61" applyBorder="1">
      <alignment vertical="center"/>
      <protection/>
    </xf>
    <xf numFmtId="38" fontId="18" fillId="0" borderId="64" xfId="50" applyFont="1" applyBorder="1" applyAlignment="1">
      <alignment vertical="center"/>
    </xf>
    <xf numFmtId="38" fontId="18" fillId="0" borderId="10" xfId="50" applyFont="1" applyBorder="1" applyAlignment="1">
      <alignment vertical="center"/>
    </xf>
    <xf numFmtId="38" fontId="18" fillId="0" borderId="38" xfId="50" applyFont="1" applyBorder="1" applyAlignment="1">
      <alignment vertical="center"/>
    </xf>
    <xf numFmtId="38" fontId="18" fillId="0" borderId="13" xfId="50" applyFont="1" applyBorder="1" applyAlignment="1">
      <alignment vertical="center"/>
    </xf>
    <xf numFmtId="0" fontId="23" fillId="34" borderId="10" xfId="61" applyFont="1" applyFill="1" applyBorder="1">
      <alignment vertical="center"/>
      <protection/>
    </xf>
    <xf numFmtId="0" fontId="14" fillId="0" borderId="65" xfId="61" applyFont="1" applyBorder="1">
      <alignment vertical="center"/>
      <protection/>
    </xf>
    <xf numFmtId="0" fontId="14" fillId="0" borderId="20" xfId="61" applyFont="1" applyBorder="1">
      <alignment vertical="center"/>
      <protection/>
    </xf>
    <xf numFmtId="0" fontId="23" fillId="34" borderId="0" xfId="61" applyFont="1" applyFill="1">
      <alignment vertical="center"/>
      <protection/>
    </xf>
    <xf numFmtId="0" fontId="3" fillId="0" borderId="0" xfId="61">
      <alignment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3" fillId="0" borderId="13" xfId="61" applyBorder="1" applyAlignment="1">
      <alignment horizontal="center" vertical="center"/>
      <protection/>
    </xf>
    <xf numFmtId="0" fontId="28" fillId="0" borderId="64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28" fillId="0" borderId="53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8" fillId="0" borderId="66" xfId="61" applyFont="1" applyBorder="1" applyAlignment="1">
      <alignment horizontal="center" vertical="center"/>
      <protection/>
    </xf>
    <xf numFmtId="0" fontId="28" fillId="0" borderId="38" xfId="6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center" vertical="center"/>
      <protection/>
    </xf>
    <xf numFmtId="0" fontId="28" fillId="0" borderId="17" xfId="61" applyFont="1" applyBorder="1" applyAlignment="1">
      <alignment horizontal="center" vertical="center"/>
      <protection/>
    </xf>
    <xf numFmtId="0" fontId="3" fillId="0" borderId="10" xfId="61" applyBorder="1" applyAlignment="1">
      <alignment horizontal="left" vertical="top"/>
      <protection/>
    </xf>
    <xf numFmtId="0" fontId="3" fillId="0" borderId="65" xfId="61" applyBorder="1" applyAlignment="1">
      <alignment horizontal="left" vertical="top"/>
      <protection/>
    </xf>
    <xf numFmtId="38" fontId="18" fillId="0" borderId="58" xfId="50" applyFont="1" applyBorder="1" applyAlignment="1">
      <alignment vertical="center"/>
    </xf>
    <xf numFmtId="38" fontId="18" fillId="0" borderId="61" xfId="50" applyFont="1" applyBorder="1" applyAlignment="1">
      <alignment vertical="center"/>
    </xf>
    <xf numFmtId="38" fontId="18" fillId="0" borderId="33" xfId="50" applyFont="1" applyBorder="1" applyAlignment="1">
      <alignment vertical="center"/>
    </xf>
    <xf numFmtId="38" fontId="18" fillId="0" borderId="62" xfId="50" applyFont="1" applyBorder="1" applyAlignment="1">
      <alignment vertical="center"/>
    </xf>
    <xf numFmtId="0" fontId="29" fillId="0" borderId="11" xfId="61" applyFont="1" applyBorder="1" applyAlignment="1">
      <alignment horizontal="left" vertical="center"/>
      <protection/>
    </xf>
    <xf numFmtId="0" fontId="29" fillId="0" borderId="37" xfId="61" applyFont="1" applyBorder="1" applyAlignment="1">
      <alignment horizontal="left" vertical="center"/>
      <protection/>
    </xf>
    <xf numFmtId="0" fontId="22" fillId="0" borderId="46" xfId="61" applyFont="1" applyBorder="1" applyAlignment="1">
      <alignment horizontal="center" vertical="center"/>
      <protection/>
    </xf>
    <xf numFmtId="0" fontId="22" fillId="0" borderId="62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0" fontId="30" fillId="0" borderId="30" xfId="61" applyFont="1" applyBorder="1" applyAlignment="1">
      <alignment horizontal="center" vertical="center"/>
      <protection/>
    </xf>
    <xf numFmtId="0" fontId="31" fillId="0" borderId="63" xfId="61" applyFont="1" applyBorder="1" applyAlignment="1">
      <alignment horizontal="center" vertical="center"/>
      <protection/>
    </xf>
    <xf numFmtId="0" fontId="31" fillId="0" borderId="19" xfId="61" applyFont="1" applyBorder="1" applyAlignment="1">
      <alignment horizontal="center" vertical="center"/>
      <protection/>
    </xf>
    <xf numFmtId="38" fontId="18" fillId="0" borderId="36" xfId="50" applyFont="1" applyBorder="1" applyAlignment="1">
      <alignment vertical="center"/>
    </xf>
    <xf numFmtId="38" fontId="18" fillId="0" borderId="63" xfId="50" applyFont="1" applyBorder="1" applyAlignment="1">
      <alignment vertical="center"/>
    </xf>
    <xf numFmtId="0" fontId="3" fillId="0" borderId="67" xfId="61" applyBorder="1" applyAlignment="1">
      <alignment horizontal="justify" vertical="distributed" wrapText="1"/>
      <protection/>
    </xf>
    <xf numFmtId="0" fontId="3" fillId="0" borderId="68" xfId="61" applyBorder="1" applyAlignment="1">
      <alignment horizontal="justify" vertical="distributed" wrapText="1"/>
      <protection/>
    </xf>
    <xf numFmtId="0" fontId="3" fillId="0" borderId="69" xfId="61" applyBorder="1" applyAlignment="1">
      <alignment horizontal="justify" vertical="distributed" wrapText="1"/>
      <protection/>
    </xf>
    <xf numFmtId="0" fontId="3" fillId="0" borderId="70" xfId="61" applyBorder="1" applyAlignment="1">
      <alignment horizontal="justify" vertical="distributed" wrapText="1"/>
      <protection/>
    </xf>
    <xf numFmtId="0" fontId="3" fillId="0" borderId="0" xfId="61" applyBorder="1" applyAlignment="1">
      <alignment horizontal="justify" vertical="distributed" wrapText="1"/>
      <protection/>
    </xf>
    <xf numFmtId="0" fontId="3" fillId="0" borderId="71" xfId="61" applyBorder="1" applyAlignment="1">
      <alignment horizontal="justify" vertical="distributed" wrapText="1"/>
      <protection/>
    </xf>
    <xf numFmtId="0" fontId="3" fillId="0" borderId="72" xfId="61" applyBorder="1" applyAlignment="1">
      <alignment horizontal="justify" vertical="distributed" wrapText="1"/>
      <protection/>
    </xf>
    <xf numFmtId="0" fontId="3" fillId="0" borderId="73" xfId="61" applyBorder="1" applyAlignment="1">
      <alignment horizontal="justify" vertical="distributed" wrapText="1"/>
      <protection/>
    </xf>
    <xf numFmtId="0" fontId="3" fillId="0" borderId="74" xfId="61" applyBorder="1" applyAlignment="1">
      <alignment horizontal="justify" vertical="distributed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36</xdr:row>
      <xdr:rowOff>19050</xdr:rowOff>
    </xdr:from>
    <xdr:to>
      <xdr:col>26</xdr:col>
      <xdr:colOff>123825</xdr:colOff>
      <xdr:row>44</xdr:row>
      <xdr:rowOff>85725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09600" y="8239125"/>
          <a:ext cx="5934075" cy="1571625"/>
        </a:xfrm>
        <a:prstGeom prst="rect">
          <a:avLst/>
        </a:prstGeom>
        <a:solidFill>
          <a:srgbClr val="FFFFFF"/>
        </a:solidFill>
        <a:ln w="44450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□国民健康保険税の納税義務者は、世帯主です。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□世帯主が社会保険等に加入している場合は、擬制世帯主となります。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◆４０歳～６４歳までの方は、介護保険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２号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被保険者に該当しますので、国保税で賦課徴収します。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◆満４０歳の誕生月から　（１月生まれの場合は、前の月）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◆６５歳未満、誕生月の前月まで　（１月生まれの場合は、前々月）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◇６５歳からは、介護１号被保険者になり、介護保険料として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別納付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■国民健康保険に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新規加入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社会保険喪失・退職・転入・出生などは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当月分から課税対象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■国民健康保険を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喪失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社会保険等への加入・転出・死亡などは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前月分まで課税対象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36</xdr:row>
      <xdr:rowOff>19050</xdr:rowOff>
    </xdr:from>
    <xdr:to>
      <xdr:col>26</xdr:col>
      <xdr:colOff>123825</xdr:colOff>
      <xdr:row>44</xdr:row>
      <xdr:rowOff>85725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09600" y="8239125"/>
          <a:ext cx="5934075" cy="1571625"/>
        </a:xfrm>
        <a:prstGeom prst="rect">
          <a:avLst/>
        </a:prstGeom>
        <a:solidFill>
          <a:srgbClr val="FFFFFF"/>
        </a:solidFill>
        <a:ln w="44450" cmpd="sng">
          <a:solidFill>
            <a:srgbClr val="6600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□国民健康保険税の納税義務者は、世帯主です。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□世帯主が社会保険等に加入している場合は、擬制世帯主となります。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◆４０歳～６４歳までの方は、介護保険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２号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被保険者に該当しますので、国保税で賦課徴収します。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◆満４０歳の誕生月から　（１月生まれの場合は、前の月）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◆６５歳未満、誕生月の前月まで　（１月生まれの場合は、前々月）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◇６５歳からは、介護１号被保険者になり、介護保険料として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別納付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となります。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■国民健康保険に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新規加入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社会保険喪失・退職・転入・出生などは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当月分から課税対象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■国民健康保険を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喪失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社会保険等への加入・転出・死亡などは</a:t>
          </a:r>
          <a:r>
            <a:rPr lang="en-US" cap="none" sz="11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前月分まで課税対象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152400</xdr:colOff>
      <xdr:row>22</xdr:row>
      <xdr:rowOff>133350</xdr:rowOff>
    </xdr:from>
    <xdr:to>
      <xdr:col>31</xdr:col>
      <xdr:colOff>314325</xdr:colOff>
      <xdr:row>26</xdr:row>
      <xdr:rowOff>114300</xdr:rowOff>
    </xdr:to>
    <xdr:sp>
      <xdr:nvSpPr>
        <xdr:cNvPr id="2" name="吹き出し: 円形 3"/>
        <xdr:cNvSpPr>
          <a:spLocks/>
        </xdr:cNvSpPr>
      </xdr:nvSpPr>
      <xdr:spPr>
        <a:xfrm>
          <a:off x="7000875" y="4905375"/>
          <a:ext cx="1533525" cy="914400"/>
        </a:xfrm>
        <a:prstGeom prst="wedgeEllipseCallout">
          <a:avLst>
            <a:gd name="adj1" fmla="val -3749"/>
            <a:gd name="adj2" fmla="val -853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世帯主の区分と被保険者の人数を選択します。</a:t>
          </a:r>
        </a:p>
      </xdr:txBody>
    </xdr:sp>
    <xdr:clientData/>
  </xdr:twoCellAnchor>
  <xdr:twoCellAnchor>
    <xdr:from>
      <xdr:col>30</xdr:col>
      <xdr:colOff>819150</xdr:colOff>
      <xdr:row>26</xdr:row>
      <xdr:rowOff>28575</xdr:rowOff>
    </xdr:from>
    <xdr:to>
      <xdr:col>33</xdr:col>
      <xdr:colOff>828675</xdr:colOff>
      <xdr:row>30</xdr:row>
      <xdr:rowOff>228600</xdr:rowOff>
    </xdr:to>
    <xdr:sp>
      <xdr:nvSpPr>
        <xdr:cNvPr id="3" name="吹き出し: 円形 5"/>
        <xdr:cNvSpPr>
          <a:spLocks/>
        </xdr:cNvSpPr>
      </xdr:nvSpPr>
      <xdr:spPr>
        <a:xfrm>
          <a:off x="8115300" y="5734050"/>
          <a:ext cx="2362200" cy="1162050"/>
        </a:xfrm>
        <a:prstGeom prst="wedgeEllipseCallout">
          <a:avLst>
            <a:gd name="adj1" fmla="val -3138"/>
            <a:gd name="adj2" fmla="val -1516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該当する所得欄に入力してください。（所得がわからない場合は所得の速算表をご活用ください。）</a:t>
          </a:r>
        </a:p>
      </xdr:txBody>
    </xdr:sp>
    <xdr:clientData/>
  </xdr:twoCellAnchor>
  <xdr:twoCellAnchor>
    <xdr:from>
      <xdr:col>33</xdr:col>
      <xdr:colOff>523875</xdr:colOff>
      <xdr:row>23</xdr:row>
      <xdr:rowOff>9525</xdr:rowOff>
    </xdr:from>
    <xdr:to>
      <xdr:col>37</xdr:col>
      <xdr:colOff>9525</xdr:colOff>
      <xdr:row>27</xdr:row>
      <xdr:rowOff>9525</xdr:rowOff>
    </xdr:to>
    <xdr:sp>
      <xdr:nvSpPr>
        <xdr:cNvPr id="4" name="吹き出し: 円形 6"/>
        <xdr:cNvSpPr>
          <a:spLocks/>
        </xdr:cNvSpPr>
      </xdr:nvSpPr>
      <xdr:spPr>
        <a:xfrm>
          <a:off x="10172700" y="5000625"/>
          <a:ext cx="2371725" cy="952500"/>
        </a:xfrm>
        <a:prstGeom prst="wedgeEllipseCallout">
          <a:avLst>
            <a:gd name="adj1" fmla="val -13222"/>
            <a:gd name="adj2" fmla="val -963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対象の方の生年月日を入力してください。（昭和３０年１月１日の場合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S30.1.1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38"/>
  <sheetViews>
    <sheetView showZeros="0" tabSelected="1" zoomScaleSheetLayoutView="100" zoomScalePageLayoutView="0" workbookViewId="0" topLeftCell="A1">
      <selection activeCell="AG8" sqref="AG8"/>
    </sheetView>
  </sheetViews>
  <sheetFormatPr defaultColWidth="9.140625" defaultRowHeight="15"/>
  <cols>
    <col min="1" max="1" width="0.42578125" style="1" customWidth="1"/>
    <col min="2" max="3" width="3.57421875" style="1" customWidth="1"/>
    <col min="4" max="27" width="3.8515625" style="1" customWidth="1"/>
    <col min="28" max="28" width="2.57421875" style="1" customWidth="1"/>
    <col min="29" max="29" width="3.140625" style="2" customWidth="1"/>
    <col min="30" max="30" width="3.57421875" style="1" customWidth="1"/>
    <col min="31" max="31" width="13.8515625" style="1" bestFit="1" customWidth="1"/>
    <col min="32" max="32" width="10.7109375" style="1" customWidth="1"/>
    <col min="33" max="33" width="10.7109375" style="30" customWidth="1"/>
    <col min="34" max="34" width="16.00390625" style="30" bestFit="1" customWidth="1"/>
    <col min="35" max="35" width="9.421875" style="30" bestFit="1" customWidth="1"/>
    <col min="36" max="36" width="6.140625" style="30" customWidth="1"/>
    <col min="37" max="37" width="9.421875" style="1" bestFit="1" customWidth="1"/>
    <col min="38" max="38" width="13.8515625" style="1" bestFit="1" customWidth="1"/>
    <col min="39" max="39" width="11.57421875" style="45" bestFit="1" customWidth="1"/>
    <col min="40" max="40" width="20.421875" style="30" bestFit="1" customWidth="1"/>
    <col min="41" max="41" width="13.8515625" style="1" bestFit="1" customWidth="1"/>
    <col min="42" max="46" width="10.7109375" style="1" customWidth="1"/>
    <col min="47" max="47" width="10.7109375" style="29" customWidth="1"/>
    <col min="48" max="48" width="10.7109375" style="1" customWidth="1"/>
    <col min="49" max="49" width="10.7109375" style="27" customWidth="1"/>
    <col min="50" max="50" width="10.7109375" style="1" customWidth="1"/>
    <col min="51" max="16384" width="9.00390625" style="1" customWidth="1"/>
  </cols>
  <sheetData>
    <row r="1" spans="4:26" ht="15" customHeight="1">
      <c r="D1" s="128">
        <v>45018</v>
      </c>
      <c r="E1" s="128"/>
      <c r="F1" s="128"/>
      <c r="G1" s="128"/>
      <c r="H1" s="128"/>
      <c r="I1" s="128"/>
      <c r="J1" s="128"/>
      <c r="K1" s="53"/>
      <c r="L1" s="62" t="s">
        <v>86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3:26" ht="15" customHeight="1">
      <c r="C2" s="49"/>
      <c r="D2" s="128"/>
      <c r="E2" s="128"/>
      <c r="F2" s="128"/>
      <c r="G2" s="128"/>
      <c r="H2" s="128"/>
      <c r="I2" s="128"/>
      <c r="J2" s="128"/>
      <c r="K2" s="5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30:36" ht="6.75" customHeight="1">
      <c r="AD3" s="20"/>
      <c r="AE3" s="20"/>
      <c r="AF3" s="20"/>
      <c r="AG3" s="20"/>
      <c r="AH3" s="20"/>
      <c r="AI3" s="20"/>
      <c r="AJ3" s="20"/>
    </row>
    <row r="4" spans="2:49" ht="18.75" customHeight="1">
      <c r="B4" s="60" t="s">
        <v>0</v>
      </c>
      <c r="C4" s="82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U4" s="1"/>
      <c r="AW4" s="1"/>
    </row>
    <row r="5" spans="47:49" ht="9.75" customHeight="1">
      <c r="AU5" s="1"/>
      <c r="AW5" s="1"/>
    </row>
    <row r="6" spans="2:49" ht="20.25" customHeight="1">
      <c r="B6" s="83" t="s">
        <v>2</v>
      </c>
      <c r="C6" s="86" t="s">
        <v>3</v>
      </c>
      <c r="D6" s="86"/>
      <c r="E6" s="86"/>
      <c r="F6" s="86"/>
      <c r="G6" s="86"/>
      <c r="H6" s="88" t="s">
        <v>60</v>
      </c>
      <c r="I6" s="89"/>
      <c r="J6" s="89"/>
      <c r="K6" s="89"/>
      <c r="L6" s="89"/>
      <c r="M6" s="89"/>
      <c r="N6" s="89"/>
      <c r="O6" s="89"/>
      <c r="P6" s="89"/>
      <c r="Q6" s="90"/>
      <c r="R6" s="94" t="s">
        <v>58</v>
      </c>
      <c r="S6" s="95"/>
      <c r="T6" s="96"/>
      <c r="U6" s="100" t="s">
        <v>4</v>
      </c>
      <c r="V6" s="100"/>
      <c r="W6" s="100"/>
      <c r="X6" s="102">
        <f>ROUNDDOWN(AL22*'試算表計算用DB'!D2,-2)</f>
        <v>0</v>
      </c>
      <c r="Y6" s="103"/>
      <c r="Z6" s="103"/>
      <c r="AA6" s="104"/>
      <c r="AB6" s="108" t="s">
        <v>5</v>
      </c>
      <c r="AU6" s="1"/>
      <c r="AW6" s="1"/>
    </row>
    <row r="7" spans="2:49" ht="19.5" customHeight="1">
      <c r="B7" s="84"/>
      <c r="C7" s="87"/>
      <c r="D7" s="87"/>
      <c r="E7" s="87"/>
      <c r="F7" s="87"/>
      <c r="G7" s="87"/>
      <c r="H7" s="91"/>
      <c r="I7" s="92"/>
      <c r="J7" s="92"/>
      <c r="K7" s="92"/>
      <c r="L7" s="92"/>
      <c r="M7" s="92"/>
      <c r="N7" s="92"/>
      <c r="O7" s="92"/>
      <c r="P7" s="92"/>
      <c r="Q7" s="93"/>
      <c r="R7" s="97"/>
      <c r="S7" s="98"/>
      <c r="T7" s="99"/>
      <c r="U7" s="101"/>
      <c r="V7" s="101"/>
      <c r="W7" s="101"/>
      <c r="X7" s="105"/>
      <c r="Y7" s="106"/>
      <c r="Z7" s="106"/>
      <c r="AA7" s="107"/>
      <c r="AB7" s="109"/>
      <c r="AE7" s="1" t="s">
        <v>61</v>
      </c>
      <c r="AF7" s="43">
        <f>COUNTIF(AE11:AE21,"世帯主")+COUNTIF(AE11:AE21,"被保険者")</f>
        <v>0</v>
      </c>
      <c r="AG7" s="50">
        <f>DATE(YEAR(D1)-6,MONTH(D1),DAY(D1))</f>
        <v>42827</v>
      </c>
      <c r="AH7" s="51" t="s">
        <v>87</v>
      </c>
      <c r="AJ7" s="29"/>
      <c r="AU7" s="1"/>
      <c r="AW7" s="1"/>
    </row>
    <row r="8" spans="2:49" ht="20.25" customHeight="1">
      <c r="B8" s="84"/>
      <c r="C8" s="87"/>
      <c r="D8" s="87"/>
      <c r="E8" s="87"/>
      <c r="F8" s="87"/>
      <c r="G8" s="87"/>
      <c r="H8" s="91" t="s">
        <v>60</v>
      </c>
      <c r="I8" s="92"/>
      <c r="J8" s="92"/>
      <c r="K8" s="92"/>
      <c r="L8" s="92"/>
      <c r="M8" s="92"/>
      <c r="N8" s="92"/>
      <c r="O8" s="92"/>
      <c r="P8" s="92"/>
      <c r="Q8" s="93"/>
      <c r="R8" s="110" t="s">
        <v>48</v>
      </c>
      <c r="S8" s="111"/>
      <c r="T8" s="112"/>
      <c r="U8" s="114" t="s">
        <v>7</v>
      </c>
      <c r="V8" s="114"/>
      <c r="W8" s="114"/>
      <c r="X8" s="115">
        <f>ROUNDDOWN(AL22*'試算表計算用DB'!D3,-2)</f>
        <v>0</v>
      </c>
      <c r="Y8" s="116"/>
      <c r="Z8" s="116"/>
      <c r="AA8" s="117"/>
      <c r="AB8" s="118" t="s">
        <v>5</v>
      </c>
      <c r="AE8" s="1" t="s">
        <v>62</v>
      </c>
      <c r="AF8" s="43">
        <f>COUNTIF(AK11:AK21,"介護該当")</f>
        <v>0</v>
      </c>
      <c r="AG8" s="29"/>
      <c r="AH8" s="29"/>
      <c r="AI8" s="29"/>
      <c r="AJ8" s="29"/>
      <c r="AU8" s="1"/>
      <c r="AW8" s="1"/>
    </row>
    <row r="9" spans="2:49" ht="20.25" customHeight="1">
      <c r="B9" s="84"/>
      <c r="C9" s="119" t="s">
        <v>8</v>
      </c>
      <c r="D9" s="120"/>
      <c r="E9" s="120"/>
      <c r="F9" s="120"/>
      <c r="G9" s="121"/>
      <c r="H9" s="91"/>
      <c r="I9" s="92"/>
      <c r="J9" s="92"/>
      <c r="K9" s="92"/>
      <c r="L9" s="92"/>
      <c r="M9" s="92"/>
      <c r="N9" s="92"/>
      <c r="O9" s="92"/>
      <c r="P9" s="92"/>
      <c r="Q9" s="93"/>
      <c r="R9" s="113"/>
      <c r="S9" s="111"/>
      <c r="T9" s="112"/>
      <c r="U9" s="114"/>
      <c r="V9" s="114"/>
      <c r="W9" s="114"/>
      <c r="X9" s="115"/>
      <c r="Y9" s="116"/>
      <c r="Z9" s="116"/>
      <c r="AA9" s="117"/>
      <c r="AB9" s="118"/>
      <c r="AE9" s="40" t="s">
        <v>77</v>
      </c>
      <c r="AF9" s="44">
        <f>COUNTIF(AN11:AN21,"給与所得がある")+COUNTIF(AN11:AN21,"年金所得がある（65歳未満）")+COUNTIF(AN11:AN21,"給与所得があり、年金所得が15万円以下（65歳以上）")+COUNTIF(AN11:AN21,"年金所得が15万円超（65歳以上）")</f>
        <v>0</v>
      </c>
      <c r="AG9" s="39"/>
      <c r="AH9" s="39"/>
      <c r="AK9" s="30"/>
      <c r="AL9" s="30"/>
      <c r="AU9" s="1"/>
      <c r="AW9" s="1"/>
    </row>
    <row r="10" spans="2:49" ht="20.25" customHeight="1" thickBot="1">
      <c r="B10" s="84"/>
      <c r="C10" s="122" t="s">
        <v>88</v>
      </c>
      <c r="D10" s="123"/>
      <c r="E10" s="123"/>
      <c r="F10" s="123"/>
      <c r="G10" s="124"/>
      <c r="H10" s="91" t="s">
        <v>60</v>
      </c>
      <c r="I10" s="92"/>
      <c r="J10" s="92"/>
      <c r="K10" s="92"/>
      <c r="L10" s="92"/>
      <c r="M10" s="92"/>
      <c r="N10" s="92"/>
      <c r="O10" s="92"/>
      <c r="P10" s="92"/>
      <c r="Q10" s="93"/>
      <c r="R10" s="63" t="s">
        <v>59</v>
      </c>
      <c r="S10" s="64"/>
      <c r="T10" s="65"/>
      <c r="U10" s="69" t="s">
        <v>9</v>
      </c>
      <c r="V10" s="69"/>
      <c r="W10" s="69"/>
      <c r="X10" s="71">
        <f>ROUNDDOWN(AM22*'試算表計算用DB'!D4,-2)</f>
        <v>0</v>
      </c>
      <c r="Y10" s="72"/>
      <c r="Z10" s="72"/>
      <c r="AA10" s="73"/>
      <c r="AB10" s="77" t="s">
        <v>5</v>
      </c>
      <c r="AC10" s="2" t="s">
        <v>10</v>
      </c>
      <c r="AE10" s="3" t="s">
        <v>72</v>
      </c>
      <c r="AF10" s="3" t="s">
        <v>79</v>
      </c>
      <c r="AG10" s="3" t="s">
        <v>80</v>
      </c>
      <c r="AH10" s="3" t="s">
        <v>81</v>
      </c>
      <c r="AI10" s="3" t="s">
        <v>75</v>
      </c>
      <c r="AJ10" s="3" t="s">
        <v>76</v>
      </c>
      <c r="AK10" s="52" t="s">
        <v>73</v>
      </c>
      <c r="AL10" s="3" t="s">
        <v>71</v>
      </c>
      <c r="AM10" s="3" t="s">
        <v>85</v>
      </c>
      <c r="AN10" s="3" t="s">
        <v>78</v>
      </c>
      <c r="AO10" s="3" t="s">
        <v>74</v>
      </c>
      <c r="AU10" s="1"/>
      <c r="AW10" s="1"/>
    </row>
    <row r="11" spans="2:49" ht="20.25" customHeight="1" thickBot="1">
      <c r="B11" s="85"/>
      <c r="C11" s="79" t="s">
        <v>11</v>
      </c>
      <c r="D11" s="80"/>
      <c r="E11" s="80"/>
      <c r="F11" s="80"/>
      <c r="G11" s="81"/>
      <c r="H11" s="125"/>
      <c r="I11" s="126"/>
      <c r="J11" s="126"/>
      <c r="K11" s="126"/>
      <c r="L11" s="126"/>
      <c r="M11" s="126"/>
      <c r="N11" s="126"/>
      <c r="O11" s="126"/>
      <c r="P11" s="126"/>
      <c r="Q11" s="127"/>
      <c r="R11" s="66"/>
      <c r="S11" s="67"/>
      <c r="T11" s="68"/>
      <c r="U11" s="70"/>
      <c r="V11" s="70"/>
      <c r="W11" s="70"/>
      <c r="X11" s="74"/>
      <c r="Y11" s="75"/>
      <c r="Z11" s="75"/>
      <c r="AA11" s="76"/>
      <c r="AB11" s="78"/>
      <c r="AE11" s="31"/>
      <c r="AF11" s="34"/>
      <c r="AG11" s="34"/>
      <c r="AH11" s="34"/>
      <c r="AI11" s="36"/>
      <c r="AJ11" s="38">
        <f ca="1">IF(AI11="","",DATEDIF(AI11,TODAY(),"Y"))</f>
      </c>
      <c r="AK11" s="37">
        <f>IF(AE11="世帯主",IF(AND(AJ11&lt;=64,40&lt;=AJ11),"介護該当",""),"")</f>
      </c>
      <c r="AL11" s="28">
        <f>IF(AE11="世帯主",IF(AF11+AG11+AH11&gt;'試算表計算用DB'!$B$5,AF11+AG11+AH11-'試算表計算用DB'!$B$5,0),0)</f>
        <v>0</v>
      </c>
      <c r="AM11" s="28">
        <f>IF(AK11="介護該当",AL11,0)</f>
        <v>0</v>
      </c>
      <c r="AN11" s="42">
        <f>IF(AJ11&lt;=64,IF(AF11&gt;0,"給与所得がある",IF(AG11&gt;0,"年金所得がある（65歳未満）","")),IF(AG11&gt;150000,"年金所得が15万円超（65歳以上）",IF(AF11&gt;0,"給与所得があり、年金所得が15万円以下（65歳以上）","")))</f>
      </c>
      <c r="AO11" s="41">
        <f>IF(AN11="年金所得が15万円超（65歳以上）",AF11+AG11+AH11-150000,IF(AJ11&lt;65,AF11+AG11+AH11,AF11+AH11))</f>
        <v>0</v>
      </c>
      <c r="AU11" s="1"/>
      <c r="AW11" s="1"/>
    </row>
    <row r="12" spans="2:49" ht="17.25" customHeight="1" thickBot="1">
      <c r="B12" s="149" t="s">
        <v>12</v>
      </c>
      <c r="C12" s="152" t="s">
        <v>13</v>
      </c>
      <c r="D12" s="152"/>
      <c r="E12" s="152"/>
      <c r="F12" s="152"/>
      <c r="G12" s="152"/>
      <c r="H12" s="154" t="s">
        <v>14</v>
      </c>
      <c r="I12" s="154"/>
      <c r="J12" s="154"/>
      <c r="K12" s="155"/>
      <c r="L12" s="158">
        <f>'試算表計算用DB'!B2</f>
        <v>10000</v>
      </c>
      <c r="M12" s="159"/>
      <c r="N12" s="159"/>
      <c r="O12" s="159"/>
      <c r="P12" s="161" t="s">
        <v>15</v>
      </c>
      <c r="Q12" s="4"/>
      <c r="R12" s="163" t="s">
        <v>49</v>
      </c>
      <c r="S12" s="136">
        <f>AF7</f>
        <v>0</v>
      </c>
      <c r="T12" s="138" t="s">
        <v>50</v>
      </c>
      <c r="U12" s="140" t="s">
        <v>16</v>
      </c>
      <c r="V12" s="141"/>
      <c r="W12" s="142"/>
      <c r="X12" s="143">
        <f>IF($AO$27="軽減無し",'試算表計算用DB'!B2*AF7,IF($AO$27="２割軽減",'試算表計算用DB'!B2*AF7*0.8,IF($AO$27="５割軽減",'試算表計算用DB'!B2*AF7*0.5,IF($AO$27="7割軽減",'試算表計算用DB'!B2*AF7*0.3,'試算表計算用DB'!B2*AF7))))</f>
        <v>0</v>
      </c>
      <c r="Y12" s="144"/>
      <c r="Z12" s="144"/>
      <c r="AA12" s="145"/>
      <c r="AB12" s="108" t="s">
        <v>5</v>
      </c>
      <c r="AE12" s="31"/>
      <c r="AF12" s="34"/>
      <c r="AG12" s="34"/>
      <c r="AH12" s="34"/>
      <c r="AI12" s="36"/>
      <c r="AJ12" s="38">
        <f aca="true" ca="1" t="shared" si="0" ref="AJ12:AJ21">IF(AI12="","",DATEDIF(AI12,TODAY(),"Y"))</f>
      </c>
      <c r="AK12" s="37">
        <f aca="true" t="shared" si="1" ref="AK12:AK21">IF(AND(AJ12&lt;=64,40&lt;=AJ12),"介護該当","")</f>
      </c>
      <c r="AL12" s="28">
        <f>IF(AF12+AG12+AH12&gt;'試算表計算用DB'!$B$5,AF12+AG12+AH12-'試算表計算用DB'!$B$5,0)</f>
        <v>0</v>
      </c>
      <c r="AM12" s="28">
        <f aca="true" t="shared" si="2" ref="AM12:AM21">IF(AK12="介護該当",AL12,0)</f>
        <v>0</v>
      </c>
      <c r="AN12" s="42">
        <f aca="true" t="shared" si="3" ref="AN12:AN21">IF(AJ12&lt;=64,IF(AF12&gt;0,"給与所得がある",IF(AG12&gt;0,"年金所得がある（65歳未満）","")),IF(AG12&gt;150000,"年金所得が15万円超（65歳以上）",IF(AF12&gt;0,"給与所得があり、年金所得が15万円以下（65歳以上）","")))</f>
      </c>
      <c r="AO12" s="41">
        <f>IF(AN12="年金所得が15万円超（65歳以上）",AF12+AG12+AH12-150000,IF(AJ12&lt;65,AF12+AG12+AH12,AF12+AH12))</f>
        <v>0</v>
      </c>
      <c r="AU12" s="1"/>
      <c r="AW12" s="1"/>
    </row>
    <row r="13" spans="2:49" ht="17.25" customHeight="1" thickBot="1">
      <c r="B13" s="150"/>
      <c r="C13" s="153"/>
      <c r="D13" s="153"/>
      <c r="E13" s="153"/>
      <c r="F13" s="153"/>
      <c r="G13" s="153"/>
      <c r="H13" s="156"/>
      <c r="I13" s="156"/>
      <c r="J13" s="156"/>
      <c r="K13" s="157"/>
      <c r="L13" s="160"/>
      <c r="M13" s="160"/>
      <c r="N13" s="160"/>
      <c r="O13" s="160"/>
      <c r="P13" s="162"/>
      <c r="Q13" s="5"/>
      <c r="R13" s="139"/>
      <c r="S13" s="137"/>
      <c r="T13" s="139"/>
      <c r="U13" s="133"/>
      <c r="V13" s="134"/>
      <c r="W13" s="135"/>
      <c r="X13" s="146"/>
      <c r="Y13" s="147"/>
      <c r="Z13" s="147"/>
      <c r="AA13" s="148"/>
      <c r="AB13" s="118"/>
      <c r="AE13" s="31"/>
      <c r="AF13" s="34"/>
      <c r="AG13" s="34"/>
      <c r="AH13" s="34"/>
      <c r="AI13" s="36"/>
      <c r="AJ13" s="38">
        <f ca="1" t="shared" si="0"/>
      </c>
      <c r="AK13" s="37">
        <f t="shared" si="1"/>
      </c>
      <c r="AL13" s="28">
        <f>IF(AF13+AG13+AH13&gt;'試算表計算用DB'!$B$5,AF13+AG13+AH13-'試算表計算用DB'!$B$5,0)</f>
        <v>0</v>
      </c>
      <c r="AM13" s="28">
        <f t="shared" si="2"/>
        <v>0</v>
      </c>
      <c r="AN13" s="42">
        <f t="shared" si="3"/>
      </c>
      <c r="AO13" s="41">
        <f aca="true" t="shared" si="4" ref="AO13:AO21">IF(AN13="年金所得が15万円超（65歳以上）",AF13+AG13+AH13-150000,IF(AJ13&lt;65,AF13+AG13+AH13,AF13+AH13))</f>
        <v>0</v>
      </c>
      <c r="AU13" s="1"/>
      <c r="AW13" s="1"/>
    </row>
    <row r="14" spans="2:49" ht="17.25" customHeight="1" thickBot="1">
      <c r="B14" s="150"/>
      <c r="C14" s="153"/>
      <c r="D14" s="153"/>
      <c r="E14" s="153"/>
      <c r="F14" s="153"/>
      <c r="G14" s="153"/>
      <c r="H14" s="156" t="s">
        <v>17</v>
      </c>
      <c r="I14" s="156"/>
      <c r="J14" s="156"/>
      <c r="K14" s="157"/>
      <c r="L14" s="164">
        <f>'試算表計算用DB'!B3</f>
        <v>7000</v>
      </c>
      <c r="M14" s="160"/>
      <c r="N14" s="160"/>
      <c r="O14" s="160"/>
      <c r="P14" s="162" t="s">
        <v>15</v>
      </c>
      <c r="Q14" s="6"/>
      <c r="R14" s="195" t="s">
        <v>51</v>
      </c>
      <c r="S14" s="129">
        <f>AF7</f>
        <v>0</v>
      </c>
      <c r="T14" s="131" t="s">
        <v>50</v>
      </c>
      <c r="U14" s="133" t="s">
        <v>18</v>
      </c>
      <c r="V14" s="134"/>
      <c r="W14" s="135"/>
      <c r="X14" s="143">
        <f>IF($AO$27="軽減無し",'試算表計算用DB'!B3*AF7,IF($AO$27="２割軽減",'試算表計算用DB'!B3*AF7*0.8,IF($AO$27="５割軽減",'試算表計算用DB'!B3*AF7*0.5,IF($AO$27="7割軽減",'試算表計算用DB'!B3*AF7*0.3,'試算表計算用DB'!B3*AF7))))</f>
        <v>0</v>
      </c>
      <c r="Y14" s="144"/>
      <c r="Z14" s="144"/>
      <c r="AA14" s="145"/>
      <c r="AB14" s="118" t="s">
        <v>5</v>
      </c>
      <c r="AE14" s="31"/>
      <c r="AF14" s="34"/>
      <c r="AG14" s="34"/>
      <c r="AH14" s="34"/>
      <c r="AI14" s="36"/>
      <c r="AJ14" s="38">
        <f ca="1" t="shared" si="0"/>
      </c>
      <c r="AK14" s="37">
        <f t="shared" si="1"/>
      </c>
      <c r="AL14" s="28">
        <f>IF(AF14+AG14+AH14&gt;'試算表計算用DB'!$B$5,AF14+AG14+AH14-'試算表計算用DB'!$B$5,0)</f>
        <v>0</v>
      </c>
      <c r="AM14" s="28">
        <f t="shared" si="2"/>
        <v>0</v>
      </c>
      <c r="AN14" s="42">
        <f t="shared" si="3"/>
      </c>
      <c r="AO14" s="41">
        <f t="shared" si="4"/>
        <v>0</v>
      </c>
      <c r="AU14" s="1"/>
      <c r="AW14" s="1"/>
    </row>
    <row r="15" spans="2:49" ht="17.25" customHeight="1" thickBot="1">
      <c r="B15" s="150"/>
      <c r="C15" s="168" t="s">
        <v>19</v>
      </c>
      <c r="D15" s="168"/>
      <c r="E15" s="168"/>
      <c r="F15" s="168"/>
      <c r="G15" s="168"/>
      <c r="H15" s="156"/>
      <c r="I15" s="156"/>
      <c r="J15" s="156"/>
      <c r="K15" s="157"/>
      <c r="L15" s="160"/>
      <c r="M15" s="160"/>
      <c r="N15" s="160"/>
      <c r="O15" s="160"/>
      <c r="P15" s="162"/>
      <c r="Q15" s="5"/>
      <c r="R15" s="186"/>
      <c r="S15" s="130"/>
      <c r="T15" s="132"/>
      <c r="U15" s="133"/>
      <c r="V15" s="134"/>
      <c r="W15" s="135"/>
      <c r="X15" s="146"/>
      <c r="Y15" s="147"/>
      <c r="Z15" s="147"/>
      <c r="AA15" s="148"/>
      <c r="AB15" s="118"/>
      <c r="AE15" s="31"/>
      <c r="AF15" s="34"/>
      <c r="AG15" s="34"/>
      <c r="AH15" s="34"/>
      <c r="AI15" s="36"/>
      <c r="AJ15" s="38">
        <f ca="1" t="shared" si="0"/>
      </c>
      <c r="AK15" s="37">
        <f t="shared" si="1"/>
      </c>
      <c r="AL15" s="28">
        <f>IF(AF15+AG15+AH15&gt;'試算表計算用DB'!$B$5,AF15+AG15+AH15-'試算表計算用DB'!$B$5,0)</f>
        <v>0</v>
      </c>
      <c r="AM15" s="28">
        <f t="shared" si="2"/>
        <v>0</v>
      </c>
      <c r="AN15" s="42">
        <f t="shared" si="3"/>
      </c>
      <c r="AO15" s="41">
        <f t="shared" si="4"/>
        <v>0</v>
      </c>
      <c r="AU15" s="1"/>
      <c r="AW15" s="1"/>
    </row>
    <row r="16" spans="2:49" ht="17.25" customHeight="1" thickBot="1">
      <c r="B16" s="150"/>
      <c r="C16" s="168"/>
      <c r="D16" s="168"/>
      <c r="E16" s="168"/>
      <c r="F16" s="168"/>
      <c r="G16" s="168"/>
      <c r="H16" s="156" t="s">
        <v>17</v>
      </c>
      <c r="I16" s="156"/>
      <c r="J16" s="156"/>
      <c r="K16" s="157"/>
      <c r="L16" s="164">
        <f>'試算表計算用DB'!B4</f>
        <v>9000</v>
      </c>
      <c r="M16" s="160"/>
      <c r="N16" s="160"/>
      <c r="O16" s="160"/>
      <c r="P16" s="162" t="s">
        <v>15</v>
      </c>
      <c r="Q16" s="6"/>
      <c r="R16" s="139" t="s">
        <v>49</v>
      </c>
      <c r="S16" s="194">
        <f>AF8</f>
        <v>0</v>
      </c>
      <c r="T16" s="185" t="s">
        <v>50</v>
      </c>
      <c r="U16" s="187" t="s">
        <v>20</v>
      </c>
      <c r="V16" s="188"/>
      <c r="W16" s="189"/>
      <c r="X16" s="143">
        <f>IF(AF8&gt;0,IF($AO$27="軽減無し",'試算表計算用DB'!B4*AF8,IF($AO$27="２割軽減",'試算表計算用DB'!B4*AF8*0.8,IF($AO$27="５割軽減",'試算表計算用DB'!B4*AF8*0.5,IF($AO$27="7割軽減",'試算表計算用DB'!B4*AF8*0.3,'試算表計算用DB'!B4*AF8)))),0)</f>
        <v>0</v>
      </c>
      <c r="Y16" s="144"/>
      <c r="Z16" s="144"/>
      <c r="AA16" s="145"/>
      <c r="AB16" s="118" t="s">
        <v>5</v>
      </c>
      <c r="AC16" s="2" t="s">
        <v>10</v>
      </c>
      <c r="AE16" s="31"/>
      <c r="AF16" s="34"/>
      <c r="AG16" s="34"/>
      <c r="AH16" s="34"/>
      <c r="AI16" s="36"/>
      <c r="AJ16" s="38">
        <f ca="1" t="shared" si="0"/>
      </c>
      <c r="AK16" s="37">
        <f t="shared" si="1"/>
      </c>
      <c r="AL16" s="28">
        <f>IF(AF16+AG16+AH16&gt;'試算表計算用DB'!$B$5,AF16+AG16+AH16-'試算表計算用DB'!$B$5,0)</f>
        <v>0</v>
      </c>
      <c r="AM16" s="28">
        <f t="shared" si="2"/>
        <v>0</v>
      </c>
      <c r="AN16" s="42">
        <f t="shared" si="3"/>
      </c>
      <c r="AO16" s="41">
        <f t="shared" si="4"/>
        <v>0</v>
      </c>
      <c r="AU16" s="1"/>
      <c r="AW16" s="1"/>
    </row>
    <row r="17" spans="2:49" ht="17.25" customHeight="1" thickBot="1">
      <c r="B17" s="150"/>
      <c r="C17" s="169"/>
      <c r="D17" s="169"/>
      <c r="E17" s="169"/>
      <c r="F17" s="169"/>
      <c r="G17" s="169"/>
      <c r="H17" s="193"/>
      <c r="I17" s="193"/>
      <c r="J17" s="193"/>
      <c r="K17" s="171"/>
      <c r="L17" s="173"/>
      <c r="M17" s="173"/>
      <c r="N17" s="173"/>
      <c r="O17" s="173"/>
      <c r="P17" s="174"/>
      <c r="Q17" s="7"/>
      <c r="R17" s="186"/>
      <c r="S17" s="130"/>
      <c r="T17" s="186"/>
      <c r="U17" s="190"/>
      <c r="V17" s="191"/>
      <c r="W17" s="192"/>
      <c r="X17" s="146"/>
      <c r="Y17" s="147"/>
      <c r="Z17" s="147"/>
      <c r="AA17" s="148"/>
      <c r="AB17" s="78"/>
      <c r="AE17" s="31"/>
      <c r="AF17" s="34"/>
      <c r="AG17" s="34"/>
      <c r="AH17" s="34"/>
      <c r="AI17" s="36"/>
      <c r="AJ17" s="38">
        <f ca="1" t="shared" si="0"/>
      </c>
      <c r="AK17" s="37">
        <f t="shared" si="1"/>
      </c>
      <c r="AL17" s="28">
        <f>IF(AF17+AG17+AH17&gt;'試算表計算用DB'!$B$5,AF17+AG17+AH17-'試算表計算用DB'!$B$5,0)</f>
        <v>0</v>
      </c>
      <c r="AM17" s="28">
        <f t="shared" si="2"/>
        <v>0</v>
      </c>
      <c r="AN17" s="42">
        <f t="shared" si="3"/>
      </c>
      <c r="AO17" s="41">
        <f t="shared" si="4"/>
        <v>0</v>
      </c>
      <c r="AU17" s="1"/>
      <c r="AW17" s="1"/>
    </row>
    <row r="18" spans="2:49" ht="17.25" customHeight="1" thickBot="1">
      <c r="B18" s="150"/>
      <c r="C18" s="152" t="s">
        <v>21</v>
      </c>
      <c r="D18" s="152"/>
      <c r="E18" s="152"/>
      <c r="F18" s="152"/>
      <c r="G18" s="152"/>
      <c r="H18" s="155" t="s">
        <v>22</v>
      </c>
      <c r="I18" s="181"/>
      <c r="J18" s="181"/>
      <c r="K18" s="181"/>
      <c r="L18" s="158">
        <f>'試算表計算用DB'!C2</f>
        <v>20000</v>
      </c>
      <c r="M18" s="159"/>
      <c r="N18" s="159"/>
      <c r="O18" s="159"/>
      <c r="P18" s="161" t="s">
        <v>15</v>
      </c>
      <c r="Q18" s="4"/>
      <c r="R18" s="4"/>
      <c r="S18" s="4"/>
      <c r="T18" s="8"/>
      <c r="U18" s="182" t="s">
        <v>23</v>
      </c>
      <c r="V18" s="183"/>
      <c r="W18" s="184"/>
      <c r="X18" s="143">
        <f>IF(AF4&gt;0,IF($AO$27="軽減無し",試算表計算用DB!#REF!,IF($AO$27="２割軽減",試算表計算用DB!#REF!*0.8,IF($AO$27="５割軽減",試算表計算用DB!#REF!*0.5,IF($AO$27="7割軽減",試算表計算用DB!#REF!*0.3,試算表計算用DB!#REF!)))),0)</f>
        <v>0</v>
      </c>
      <c r="Y18" s="144"/>
      <c r="Z18" s="144"/>
      <c r="AA18" s="145"/>
      <c r="AB18" s="108" t="s">
        <v>5</v>
      </c>
      <c r="AE18" s="31"/>
      <c r="AF18" s="34"/>
      <c r="AG18" s="34"/>
      <c r="AH18" s="34"/>
      <c r="AI18" s="36"/>
      <c r="AJ18" s="38">
        <f ca="1" t="shared" si="0"/>
      </c>
      <c r="AK18" s="37">
        <f t="shared" si="1"/>
      </c>
      <c r="AL18" s="28">
        <f>IF(AF18+AG18+AH18&gt;'試算表計算用DB'!$B$5,AF18+AG18+AH18-'試算表計算用DB'!$B$5,0)</f>
        <v>0</v>
      </c>
      <c r="AM18" s="28">
        <f t="shared" si="2"/>
        <v>0</v>
      </c>
      <c r="AN18" s="42">
        <f t="shared" si="3"/>
      </c>
      <c r="AO18" s="41">
        <f t="shared" si="4"/>
        <v>0</v>
      </c>
      <c r="AU18" s="1"/>
      <c r="AW18" s="1"/>
    </row>
    <row r="19" spans="2:49" ht="17.25" customHeight="1" thickBot="1">
      <c r="B19" s="150"/>
      <c r="C19" s="153"/>
      <c r="D19" s="153"/>
      <c r="E19" s="153"/>
      <c r="F19" s="153"/>
      <c r="G19" s="153"/>
      <c r="H19" s="157"/>
      <c r="I19" s="170"/>
      <c r="J19" s="170"/>
      <c r="K19" s="170"/>
      <c r="L19" s="160"/>
      <c r="M19" s="160"/>
      <c r="N19" s="160"/>
      <c r="O19" s="160"/>
      <c r="P19" s="162"/>
      <c r="Q19" s="5"/>
      <c r="R19" s="5"/>
      <c r="S19" s="5"/>
      <c r="T19" s="9"/>
      <c r="U19" s="165"/>
      <c r="V19" s="166"/>
      <c r="W19" s="167"/>
      <c r="X19" s="146"/>
      <c r="Y19" s="147"/>
      <c r="Z19" s="147"/>
      <c r="AA19" s="148"/>
      <c r="AB19" s="118"/>
      <c r="AE19" s="31"/>
      <c r="AF19" s="34"/>
      <c r="AG19" s="34"/>
      <c r="AH19" s="34"/>
      <c r="AI19" s="36"/>
      <c r="AJ19" s="38">
        <f ca="1" t="shared" si="0"/>
      </c>
      <c r="AK19" s="37">
        <f t="shared" si="1"/>
      </c>
      <c r="AL19" s="28">
        <f>IF(AF19+AG19+AH19&gt;'試算表計算用DB'!$B$5,AF19+AG19+AH19-'試算表計算用DB'!$B$5,0)</f>
        <v>0</v>
      </c>
      <c r="AM19" s="28">
        <f t="shared" si="2"/>
        <v>0</v>
      </c>
      <c r="AN19" s="42">
        <f t="shared" si="3"/>
      </c>
      <c r="AO19" s="41">
        <f t="shared" si="4"/>
        <v>0</v>
      </c>
      <c r="AU19" s="1"/>
      <c r="AW19" s="1"/>
    </row>
    <row r="20" spans="2:49" ht="17.25" customHeight="1" thickBot="1">
      <c r="B20" s="150"/>
      <c r="C20" s="153"/>
      <c r="D20" s="153"/>
      <c r="E20" s="153"/>
      <c r="F20" s="153"/>
      <c r="G20" s="153"/>
      <c r="H20" s="157" t="s">
        <v>22</v>
      </c>
      <c r="I20" s="170"/>
      <c r="J20" s="170"/>
      <c r="K20" s="170"/>
      <c r="L20" s="164">
        <f>'試算表計算用DB'!C3</f>
        <v>7000</v>
      </c>
      <c r="M20" s="160"/>
      <c r="N20" s="160"/>
      <c r="O20" s="160"/>
      <c r="P20" s="162" t="s">
        <v>15</v>
      </c>
      <c r="Q20" s="6"/>
      <c r="R20" s="6"/>
      <c r="S20" s="6"/>
      <c r="T20" s="10"/>
      <c r="U20" s="165" t="s">
        <v>24</v>
      </c>
      <c r="V20" s="166"/>
      <c r="W20" s="167"/>
      <c r="X20" s="143">
        <f>IF(AF6&gt;0,IF($AO$27="軽減無し",'試算表計算用DB'!C2,IF($AO$27="２割軽減",'試算表計算用DB'!C2*0.8,IF($AO$27="５割軽減",'試算表計算用DB'!C2*0.5,IF($AO$27="7割軽減",'試算表計算用DB'!C2*0.3,'試算表計算用DB'!C2)))),0)</f>
        <v>0</v>
      </c>
      <c r="Y20" s="144"/>
      <c r="Z20" s="144"/>
      <c r="AA20" s="145"/>
      <c r="AB20" s="118" t="s">
        <v>5</v>
      </c>
      <c r="AE20" s="31"/>
      <c r="AF20" s="34"/>
      <c r="AG20" s="34"/>
      <c r="AH20" s="34"/>
      <c r="AI20" s="36"/>
      <c r="AJ20" s="38">
        <f ca="1" t="shared" si="0"/>
      </c>
      <c r="AK20" s="37">
        <f t="shared" si="1"/>
      </c>
      <c r="AL20" s="28">
        <f>IF(AF20+AG20+AH20&gt;'試算表計算用DB'!$B$5,AF20+AG20+AH20-'試算表計算用DB'!$B$5,0)</f>
        <v>0</v>
      </c>
      <c r="AM20" s="28">
        <f t="shared" si="2"/>
        <v>0</v>
      </c>
      <c r="AN20" s="42">
        <f t="shared" si="3"/>
      </c>
      <c r="AO20" s="41">
        <f t="shared" si="4"/>
        <v>0</v>
      </c>
      <c r="AU20" s="1"/>
      <c r="AW20" s="1"/>
    </row>
    <row r="21" spans="2:49" ht="17.25" customHeight="1" thickBot="1">
      <c r="B21" s="150"/>
      <c r="C21" s="168" t="s">
        <v>25</v>
      </c>
      <c r="D21" s="168"/>
      <c r="E21" s="168"/>
      <c r="F21" s="168"/>
      <c r="G21" s="168"/>
      <c r="H21" s="157"/>
      <c r="I21" s="170"/>
      <c r="J21" s="170"/>
      <c r="K21" s="170"/>
      <c r="L21" s="160"/>
      <c r="M21" s="160"/>
      <c r="N21" s="160"/>
      <c r="O21" s="160"/>
      <c r="P21" s="162"/>
      <c r="Q21" s="5"/>
      <c r="R21" s="5"/>
      <c r="S21" s="5"/>
      <c r="T21" s="9"/>
      <c r="U21" s="165"/>
      <c r="V21" s="166"/>
      <c r="W21" s="167"/>
      <c r="X21" s="146"/>
      <c r="Y21" s="147"/>
      <c r="Z21" s="147"/>
      <c r="AA21" s="148"/>
      <c r="AB21" s="118"/>
      <c r="AE21" s="31"/>
      <c r="AF21" s="34"/>
      <c r="AG21" s="34"/>
      <c r="AH21" s="34"/>
      <c r="AI21" s="36"/>
      <c r="AJ21" s="38">
        <f ca="1" t="shared" si="0"/>
      </c>
      <c r="AK21" s="37">
        <f t="shared" si="1"/>
      </c>
      <c r="AL21" s="48">
        <f>IF(AF21+AG21+AH21&gt;'試算表計算用DB'!$B$5,AF21+AG21+AH21-'試算表計算用DB'!$B$5,0)</f>
        <v>0</v>
      </c>
      <c r="AM21" s="48">
        <f t="shared" si="2"/>
        <v>0</v>
      </c>
      <c r="AN21" s="42">
        <f t="shared" si="3"/>
      </c>
      <c r="AO21" s="41">
        <f t="shared" si="4"/>
        <v>0</v>
      </c>
      <c r="AU21" s="1"/>
      <c r="AW21" s="1"/>
    </row>
    <row r="22" spans="2:49" ht="17.25" customHeight="1" thickBot="1">
      <c r="B22" s="150"/>
      <c r="C22" s="168"/>
      <c r="D22" s="168"/>
      <c r="E22" s="168"/>
      <c r="F22" s="168"/>
      <c r="G22" s="168"/>
      <c r="H22" s="157" t="s">
        <v>22</v>
      </c>
      <c r="I22" s="170"/>
      <c r="J22" s="170"/>
      <c r="K22" s="170"/>
      <c r="L22" s="164">
        <f>'試算表計算用DB'!C4</f>
        <v>6000</v>
      </c>
      <c r="M22" s="160"/>
      <c r="N22" s="160"/>
      <c r="O22" s="160"/>
      <c r="P22" s="162" t="s">
        <v>15</v>
      </c>
      <c r="Q22" s="6"/>
      <c r="R22" s="6"/>
      <c r="S22" s="6"/>
      <c r="T22" s="10"/>
      <c r="U22" s="175" t="s">
        <v>26</v>
      </c>
      <c r="V22" s="176"/>
      <c r="W22" s="177"/>
      <c r="X22" s="143">
        <f>IF(AF8&gt;0,IF($AO$27="軽減無し",'試算表計算用DB'!C4,IF($AO$27="２割軽減",'試算表計算用DB'!C4*0.8,IF($AO$27="５割軽減",'試算表計算用DB'!C4*0.5,IF($AO$27="7割軽減",'試算表計算用DB'!C4*0.3,'試算表計算用DB'!C4)))),0)</f>
        <v>0</v>
      </c>
      <c r="Y22" s="144"/>
      <c r="Z22" s="144"/>
      <c r="AA22" s="145"/>
      <c r="AB22" s="118" t="s">
        <v>5</v>
      </c>
      <c r="AC22" s="2" t="s">
        <v>10</v>
      </c>
      <c r="AL22" s="35">
        <f>SUM(AL11:AL21)</f>
        <v>0</v>
      </c>
      <c r="AM22" s="35">
        <f>SUM(AM11:AM21)</f>
        <v>0</v>
      </c>
      <c r="AN22" s="39"/>
      <c r="AO22" s="35">
        <f>SUM(AO11:AO21)</f>
        <v>0</v>
      </c>
      <c r="AU22" s="1"/>
      <c r="AW22" s="1"/>
    </row>
    <row r="23" spans="2:49" ht="17.25" customHeight="1">
      <c r="B23" s="151"/>
      <c r="C23" s="169"/>
      <c r="D23" s="169"/>
      <c r="E23" s="169"/>
      <c r="F23" s="169"/>
      <c r="G23" s="169"/>
      <c r="H23" s="171"/>
      <c r="I23" s="172"/>
      <c r="J23" s="172"/>
      <c r="K23" s="172"/>
      <c r="L23" s="173"/>
      <c r="M23" s="173"/>
      <c r="N23" s="173"/>
      <c r="O23" s="173"/>
      <c r="P23" s="174"/>
      <c r="Q23" s="7"/>
      <c r="R23" s="7"/>
      <c r="S23" s="7"/>
      <c r="T23" s="11"/>
      <c r="U23" s="178"/>
      <c r="V23" s="179"/>
      <c r="W23" s="180"/>
      <c r="X23" s="146"/>
      <c r="Y23" s="147"/>
      <c r="Z23" s="147"/>
      <c r="AA23" s="148"/>
      <c r="AB23" s="78"/>
      <c r="AU23" s="1"/>
      <c r="AW23" s="1"/>
    </row>
    <row r="24" spans="2:49" ht="18.75" customHeight="1">
      <c r="B24" s="12"/>
      <c r="C24" s="209" t="s">
        <v>27</v>
      </c>
      <c r="D24" s="209"/>
      <c r="E24" s="209"/>
      <c r="F24" s="209"/>
      <c r="G24" s="209"/>
      <c r="H24" s="209"/>
      <c r="I24" s="209"/>
      <c r="J24" s="13"/>
      <c r="K24" s="197" t="s">
        <v>52</v>
      </c>
      <c r="L24" s="199" t="s">
        <v>29</v>
      </c>
      <c r="M24" s="199"/>
      <c r="N24" s="199"/>
      <c r="O24" s="201" t="s">
        <v>53</v>
      </c>
      <c r="P24" s="201"/>
      <c r="Q24" s="201"/>
      <c r="R24" s="203" t="s">
        <v>31</v>
      </c>
      <c r="S24" s="203"/>
      <c r="T24" s="203"/>
      <c r="U24" s="204"/>
      <c r="V24" s="205">
        <f>MIN((X6+X12+X18),'試算表計算用DB'!$E$2)</f>
        <v>0</v>
      </c>
      <c r="W24" s="206"/>
      <c r="X24" s="206"/>
      <c r="Y24" s="206"/>
      <c r="Z24" s="206"/>
      <c r="AA24" s="206"/>
      <c r="AB24" s="210" t="s">
        <v>5</v>
      </c>
      <c r="AN24" s="46" t="s">
        <v>82</v>
      </c>
      <c r="AO24" s="28">
        <f>IF($AF$9=0,'試算表計算用DB'!$B$5,'試算表計算用DB'!$B$5+100000*('試算表 (計算用)'!$AF$9-1))</f>
        <v>430000</v>
      </c>
      <c r="AU24" s="1"/>
      <c r="AW24" s="1"/>
    </row>
    <row r="25" spans="2:49" ht="18.75" customHeight="1">
      <c r="B25" s="12"/>
      <c r="C25" s="14"/>
      <c r="D25" s="212" t="s">
        <v>32</v>
      </c>
      <c r="E25" s="212"/>
      <c r="F25" s="212"/>
      <c r="G25" s="212"/>
      <c r="H25" s="14"/>
      <c r="I25" s="14"/>
      <c r="J25" s="13"/>
      <c r="K25" s="198"/>
      <c r="L25" s="200"/>
      <c r="M25" s="200"/>
      <c r="N25" s="200"/>
      <c r="O25" s="202"/>
      <c r="P25" s="202"/>
      <c r="Q25" s="202"/>
      <c r="R25" s="196">
        <f>'試算表計算用DB'!E2</f>
        <v>650000</v>
      </c>
      <c r="S25" s="196"/>
      <c r="T25" s="196"/>
      <c r="U25" s="21" t="s">
        <v>5</v>
      </c>
      <c r="V25" s="207"/>
      <c r="W25" s="208"/>
      <c r="X25" s="208"/>
      <c r="Y25" s="208"/>
      <c r="Z25" s="208"/>
      <c r="AA25" s="208"/>
      <c r="AB25" s="211"/>
      <c r="AN25" s="46" t="s">
        <v>83</v>
      </c>
      <c r="AO25" s="28">
        <f>IF($AF$9=0,'試算表計算用DB'!$B$5+($AF$7*290000),'試算表計算用DB'!$B$5+($AF$7*290000+100000*('試算表 (計算用)'!$AF$9-1)))</f>
        <v>430000</v>
      </c>
      <c r="AU25" s="1"/>
      <c r="AW25" s="1"/>
    </row>
    <row r="26" spans="2:49" ht="18.75" customHeight="1">
      <c r="B26" s="12"/>
      <c r="C26" s="14" t="s">
        <v>33</v>
      </c>
      <c r="D26" s="14"/>
      <c r="E26" s="14"/>
      <c r="F26" s="14"/>
      <c r="G26" s="14"/>
      <c r="H26" s="14"/>
      <c r="I26" s="14"/>
      <c r="J26" s="13"/>
      <c r="K26" s="197" t="s">
        <v>34</v>
      </c>
      <c r="L26" s="199" t="s">
        <v>35</v>
      </c>
      <c r="M26" s="199"/>
      <c r="N26" s="199"/>
      <c r="O26" s="201" t="s">
        <v>36</v>
      </c>
      <c r="P26" s="201"/>
      <c r="Q26" s="201"/>
      <c r="R26" s="203" t="s">
        <v>31</v>
      </c>
      <c r="S26" s="203"/>
      <c r="T26" s="203"/>
      <c r="U26" s="204"/>
      <c r="V26" s="205">
        <f>MIN((X8+X14+X20),'試算表計算用DB'!$E$3)</f>
        <v>0</v>
      </c>
      <c r="W26" s="206"/>
      <c r="X26" s="206"/>
      <c r="Y26" s="206"/>
      <c r="Z26" s="206"/>
      <c r="AA26" s="206"/>
      <c r="AB26" s="210" t="s">
        <v>5</v>
      </c>
      <c r="AN26" s="46" t="s">
        <v>84</v>
      </c>
      <c r="AO26" s="28">
        <f>IF($AF$9=0,'試算表計算用DB'!$B$5+($AF$7*535000),'試算表計算用DB'!$B$5+($AF$7*535000+100000*('試算表 (計算用)'!$AF$9-1)))</f>
        <v>430000</v>
      </c>
      <c r="AU26" s="1"/>
      <c r="AW26" s="1"/>
    </row>
    <row r="27" spans="2:49" ht="18.75" customHeight="1">
      <c r="B27" s="12"/>
      <c r="C27" s="14"/>
      <c r="D27" s="212" t="s">
        <v>37</v>
      </c>
      <c r="E27" s="212"/>
      <c r="F27" s="212"/>
      <c r="G27" s="212"/>
      <c r="H27" s="212"/>
      <c r="I27" s="212"/>
      <c r="J27" s="212"/>
      <c r="K27" s="198"/>
      <c r="L27" s="200"/>
      <c r="M27" s="200"/>
      <c r="N27" s="200"/>
      <c r="O27" s="202"/>
      <c r="P27" s="202"/>
      <c r="Q27" s="202"/>
      <c r="R27" s="196">
        <f>'試算表計算用DB'!E3</f>
        <v>220000</v>
      </c>
      <c r="S27" s="196"/>
      <c r="T27" s="196"/>
      <c r="U27" s="21" t="s">
        <v>5</v>
      </c>
      <c r="V27" s="207"/>
      <c r="W27" s="208"/>
      <c r="X27" s="208"/>
      <c r="Y27" s="208"/>
      <c r="Z27" s="208"/>
      <c r="AA27" s="208"/>
      <c r="AB27" s="211"/>
      <c r="AO27" s="47" t="str">
        <f>IF(AO22&lt;=AO26,IF(AO22&lt;=AO25,IF(AO22&lt;=AO24,"7割軽減","５割軽減"),"２割軽減"),"軽減無し")</f>
        <v>7割軽減</v>
      </c>
      <c r="AU27" s="1"/>
      <c r="AW27" s="1"/>
    </row>
    <row r="28" spans="2:49" ht="18.75" customHeight="1">
      <c r="B28" s="12"/>
      <c r="C28" s="15" t="s">
        <v>38</v>
      </c>
      <c r="D28" s="15"/>
      <c r="E28" s="15"/>
      <c r="F28" s="15"/>
      <c r="G28" s="15"/>
      <c r="H28" s="15"/>
      <c r="I28" s="15"/>
      <c r="J28" s="12"/>
      <c r="K28" s="197" t="s">
        <v>39</v>
      </c>
      <c r="L28" s="199" t="s">
        <v>40</v>
      </c>
      <c r="M28" s="199"/>
      <c r="N28" s="199"/>
      <c r="O28" s="201" t="s">
        <v>36</v>
      </c>
      <c r="P28" s="201"/>
      <c r="Q28" s="201"/>
      <c r="R28" s="203" t="s">
        <v>31</v>
      </c>
      <c r="S28" s="203"/>
      <c r="T28" s="203"/>
      <c r="U28" s="204"/>
      <c r="V28" s="205">
        <f>MIN((X10+X16+X22),'試算表計算用DB'!$E$4)</f>
        <v>0</v>
      </c>
      <c r="W28" s="206"/>
      <c r="X28" s="206"/>
      <c r="Y28" s="206"/>
      <c r="Z28" s="206"/>
      <c r="AA28" s="206"/>
      <c r="AB28" s="210" t="s">
        <v>5</v>
      </c>
      <c r="AC28" s="2" t="s">
        <v>10</v>
      </c>
      <c r="AU28" s="1"/>
      <c r="AW28" s="1"/>
    </row>
    <row r="29" spans="2:49" ht="18.75" customHeight="1">
      <c r="B29" s="12"/>
      <c r="C29" s="15"/>
      <c r="D29" s="16" t="s">
        <v>41</v>
      </c>
      <c r="E29" s="16"/>
      <c r="F29" s="16"/>
      <c r="G29" s="15"/>
      <c r="H29" s="15"/>
      <c r="I29" s="15"/>
      <c r="J29" s="12"/>
      <c r="K29" s="198"/>
      <c r="L29" s="200"/>
      <c r="M29" s="200"/>
      <c r="N29" s="200"/>
      <c r="O29" s="202"/>
      <c r="P29" s="202"/>
      <c r="Q29" s="202"/>
      <c r="R29" s="196">
        <f>'試算表計算用DB'!E4</f>
        <v>170000</v>
      </c>
      <c r="S29" s="196"/>
      <c r="T29" s="196"/>
      <c r="U29" s="21" t="s">
        <v>5</v>
      </c>
      <c r="V29" s="207"/>
      <c r="W29" s="208"/>
      <c r="X29" s="208"/>
      <c r="Y29" s="208"/>
      <c r="Z29" s="208"/>
      <c r="AA29" s="208"/>
      <c r="AB29" s="211"/>
      <c r="AU29" s="1"/>
      <c r="AW29" s="1"/>
    </row>
    <row r="30" spans="5:49" ht="19.5" customHeight="1">
      <c r="E30" s="213"/>
      <c r="F30" s="213"/>
      <c r="G30" s="213"/>
      <c r="H30" s="213"/>
      <c r="I30" s="213"/>
      <c r="J30" s="213"/>
      <c r="K30" s="214" t="s">
        <v>42</v>
      </c>
      <c r="L30" s="215"/>
      <c r="M30" s="215"/>
      <c r="N30" s="215"/>
      <c r="O30" s="216"/>
      <c r="P30" s="220" t="s">
        <v>43</v>
      </c>
      <c r="Q30" s="220"/>
      <c r="R30" s="220"/>
      <c r="S30" s="220"/>
      <c r="T30" s="220"/>
      <c r="U30" s="4"/>
      <c r="V30" s="205">
        <f>V24+V26+V28</f>
        <v>0</v>
      </c>
      <c r="W30" s="206"/>
      <c r="X30" s="206"/>
      <c r="Y30" s="206"/>
      <c r="Z30" s="206"/>
      <c r="AA30" s="206"/>
      <c r="AB30" s="210" t="s">
        <v>5</v>
      </c>
      <c r="AU30" s="1"/>
      <c r="AW30" s="1"/>
    </row>
    <row r="31" spans="11:49" ht="19.5" customHeight="1">
      <c r="K31" s="217"/>
      <c r="L31" s="218"/>
      <c r="M31" s="218"/>
      <c r="N31" s="218"/>
      <c r="O31" s="219"/>
      <c r="P31" s="221" t="s">
        <v>44</v>
      </c>
      <c r="Q31" s="221"/>
      <c r="R31" s="221"/>
      <c r="S31" s="221"/>
      <c r="T31" s="221"/>
      <c r="U31" s="221"/>
      <c r="V31" s="207"/>
      <c r="W31" s="208"/>
      <c r="X31" s="208"/>
      <c r="Y31" s="208"/>
      <c r="Z31" s="208"/>
      <c r="AA31" s="208"/>
      <c r="AB31" s="211"/>
      <c r="AU31" s="1"/>
      <c r="AW31" s="1"/>
    </row>
    <row r="32" spans="11:49" ht="17.25" customHeight="1">
      <c r="K32" s="222" t="s">
        <v>45</v>
      </c>
      <c r="L32" s="223"/>
      <c r="M32" s="223"/>
      <c r="N32" s="223"/>
      <c r="O32" s="224"/>
      <c r="P32" s="22"/>
      <c r="Q32" s="231" t="s">
        <v>54</v>
      </c>
      <c r="R32" s="231"/>
      <c r="S32" s="23"/>
      <c r="T32" s="231" t="s">
        <v>55</v>
      </c>
      <c r="U32" s="232"/>
      <c r="V32" s="233">
        <f>ROUNDDOWN(V34*R33,-2)</f>
        <v>0</v>
      </c>
      <c r="W32" s="234"/>
      <c r="X32" s="234"/>
      <c r="Y32" s="234"/>
      <c r="Z32" s="234"/>
      <c r="AA32" s="234"/>
      <c r="AB32" s="108" t="s">
        <v>5</v>
      </c>
      <c r="AU32" s="1"/>
      <c r="AW32" s="1"/>
    </row>
    <row r="33" spans="11:49" ht="17.25" customHeight="1">
      <c r="K33" s="225"/>
      <c r="L33" s="226"/>
      <c r="M33" s="226"/>
      <c r="N33" s="226"/>
      <c r="O33" s="227"/>
      <c r="P33" s="24"/>
      <c r="Q33" s="25" t="s">
        <v>56</v>
      </c>
      <c r="R33" s="26">
        <f>DATEDIF(P32,S32-DAY(S32)+1,"M")+INT(DATEDIF(S32-DAY(S32),S32,"D")/DAY(DATE(YEAR(S32),MONTH(S32)+1,0)))</f>
        <v>0</v>
      </c>
      <c r="S33" s="237" t="s">
        <v>57</v>
      </c>
      <c r="T33" s="237"/>
      <c r="U33" s="238"/>
      <c r="V33" s="235"/>
      <c r="W33" s="236"/>
      <c r="X33" s="236"/>
      <c r="Y33" s="236"/>
      <c r="Z33" s="236"/>
      <c r="AA33" s="236"/>
      <c r="AB33" s="118"/>
      <c r="AU33" s="1"/>
      <c r="AW33" s="1"/>
    </row>
    <row r="34" spans="11:49" ht="27.75" customHeight="1">
      <c r="K34" s="225"/>
      <c r="L34" s="226"/>
      <c r="M34" s="226"/>
      <c r="N34" s="226"/>
      <c r="O34" s="227"/>
      <c r="P34" s="239" t="s">
        <v>46</v>
      </c>
      <c r="Q34" s="240"/>
      <c r="R34" s="240"/>
      <c r="S34" s="240"/>
      <c r="T34" s="240"/>
      <c r="U34" s="241"/>
      <c r="V34" s="235">
        <f>V30/12</f>
        <v>0</v>
      </c>
      <c r="W34" s="236"/>
      <c r="X34" s="236"/>
      <c r="Y34" s="236"/>
      <c r="Z34" s="236"/>
      <c r="AA34" s="236"/>
      <c r="AB34" s="17" t="s">
        <v>5</v>
      </c>
      <c r="AU34" s="1"/>
      <c r="AW34" s="1"/>
    </row>
    <row r="35" spans="11:49" ht="27.75" customHeight="1">
      <c r="K35" s="228"/>
      <c r="L35" s="229"/>
      <c r="M35" s="229"/>
      <c r="N35" s="229"/>
      <c r="O35" s="230"/>
      <c r="P35" s="242" t="s">
        <v>47</v>
      </c>
      <c r="Q35" s="243"/>
      <c r="R35" s="243"/>
      <c r="S35" s="243"/>
      <c r="T35" s="243"/>
      <c r="U35" s="244"/>
      <c r="V35" s="245"/>
      <c r="W35" s="246"/>
      <c r="X35" s="246"/>
      <c r="Y35" s="246"/>
      <c r="Z35" s="246"/>
      <c r="AA35" s="246"/>
      <c r="AB35" s="18" t="s">
        <v>5</v>
      </c>
      <c r="AU35" s="1"/>
      <c r="AW35" s="1"/>
    </row>
    <row r="36" spans="2:49" ht="12.75" customHeight="1">
      <c r="B36" s="19"/>
      <c r="C36" s="19"/>
      <c r="AU36" s="1"/>
      <c r="AW36" s="1"/>
    </row>
    <row r="37" spans="47:49" ht="13.5">
      <c r="AU37" s="1"/>
      <c r="AW37" s="1"/>
    </row>
    <row r="38" spans="47:49" ht="15" customHeight="1">
      <c r="AU38" s="1"/>
      <c r="AW38" s="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13">
    <mergeCell ref="K32:O35"/>
    <mergeCell ref="Q32:R32"/>
    <mergeCell ref="T32:U32"/>
    <mergeCell ref="V32:AA33"/>
    <mergeCell ref="AB32:AB33"/>
    <mergeCell ref="S33:U33"/>
    <mergeCell ref="P34:U34"/>
    <mergeCell ref="V34:AA34"/>
    <mergeCell ref="P35:U35"/>
    <mergeCell ref="V35:AA35"/>
    <mergeCell ref="E30:J30"/>
    <mergeCell ref="K30:O31"/>
    <mergeCell ref="P30:T30"/>
    <mergeCell ref="V30:AA31"/>
    <mergeCell ref="AB30:AB31"/>
    <mergeCell ref="P31:U31"/>
    <mergeCell ref="AB26:AB27"/>
    <mergeCell ref="D27:J27"/>
    <mergeCell ref="R27:T27"/>
    <mergeCell ref="K28:K29"/>
    <mergeCell ref="L28:N29"/>
    <mergeCell ref="O28:Q29"/>
    <mergeCell ref="R28:U28"/>
    <mergeCell ref="V28:AA29"/>
    <mergeCell ref="AB28:AB29"/>
    <mergeCell ref="R29:T29"/>
    <mergeCell ref="R25:T25"/>
    <mergeCell ref="K26:K27"/>
    <mergeCell ref="L26:N27"/>
    <mergeCell ref="O26:Q27"/>
    <mergeCell ref="R26:U26"/>
    <mergeCell ref="V26:AA27"/>
    <mergeCell ref="X22:AA23"/>
    <mergeCell ref="AB22:AB23"/>
    <mergeCell ref="C24:I24"/>
    <mergeCell ref="K24:K25"/>
    <mergeCell ref="L24:N25"/>
    <mergeCell ref="O24:Q25"/>
    <mergeCell ref="R24:U24"/>
    <mergeCell ref="V24:AA25"/>
    <mergeCell ref="AB24:AB25"/>
    <mergeCell ref="D25:G25"/>
    <mergeCell ref="C18:G20"/>
    <mergeCell ref="H18:K19"/>
    <mergeCell ref="L18:O19"/>
    <mergeCell ref="P18:P19"/>
    <mergeCell ref="U18:W19"/>
    <mergeCell ref="X18:AA19"/>
    <mergeCell ref="AB18:AB19"/>
    <mergeCell ref="H20:K21"/>
    <mergeCell ref="T16:T17"/>
    <mergeCell ref="U16:W17"/>
    <mergeCell ref="X16:AA17"/>
    <mergeCell ref="AB16:AB17"/>
    <mergeCell ref="C15:G17"/>
    <mergeCell ref="H16:K17"/>
    <mergeCell ref="L16:O17"/>
    <mergeCell ref="P16:P17"/>
    <mergeCell ref="R16:R17"/>
    <mergeCell ref="S16:S17"/>
    <mergeCell ref="X14:AA15"/>
    <mergeCell ref="AB14:AB15"/>
    <mergeCell ref="H14:K15"/>
    <mergeCell ref="L14:O15"/>
    <mergeCell ref="P14:P15"/>
    <mergeCell ref="R14:R15"/>
    <mergeCell ref="S14:S15"/>
    <mergeCell ref="T14:T15"/>
    <mergeCell ref="U14:W15"/>
    <mergeCell ref="S12:S13"/>
    <mergeCell ref="T12:T13"/>
    <mergeCell ref="U12:W13"/>
    <mergeCell ref="X12:AA13"/>
    <mergeCell ref="AB12:AB13"/>
    <mergeCell ref="B12:B23"/>
    <mergeCell ref="C12:G14"/>
    <mergeCell ref="H12:K13"/>
    <mergeCell ref="L12:O13"/>
    <mergeCell ref="P12:P13"/>
    <mergeCell ref="R12:R13"/>
    <mergeCell ref="L20:O21"/>
    <mergeCell ref="P20:P21"/>
    <mergeCell ref="U20:W21"/>
    <mergeCell ref="X20:AA21"/>
    <mergeCell ref="AB20:AB21"/>
    <mergeCell ref="C21:G23"/>
    <mergeCell ref="H22:K23"/>
    <mergeCell ref="L22:O23"/>
    <mergeCell ref="P22:P23"/>
    <mergeCell ref="U22:W23"/>
    <mergeCell ref="L1:Z2"/>
    <mergeCell ref="R10:T11"/>
    <mergeCell ref="U10:W11"/>
    <mergeCell ref="X10:AA11"/>
    <mergeCell ref="AB10:AB11"/>
    <mergeCell ref="C11:G11"/>
    <mergeCell ref="C4:Z4"/>
    <mergeCell ref="B6:B11"/>
    <mergeCell ref="C6:G8"/>
    <mergeCell ref="H6:Q7"/>
    <mergeCell ref="R6:T7"/>
    <mergeCell ref="U6:W7"/>
    <mergeCell ref="X6:AA7"/>
    <mergeCell ref="AB6:AB7"/>
    <mergeCell ref="H8:Q9"/>
    <mergeCell ref="R8:T9"/>
    <mergeCell ref="U8:W9"/>
    <mergeCell ref="X8:AA9"/>
    <mergeCell ref="AB8:AB9"/>
    <mergeCell ref="C9:G9"/>
    <mergeCell ref="C10:G10"/>
    <mergeCell ref="H10:Q11"/>
    <mergeCell ref="D1:J2"/>
  </mergeCells>
  <dataValidations count="2">
    <dataValidation type="list" allowBlank="1" showInputMessage="1" showErrorMessage="1" sqref="AE11">
      <formula1>"世帯主,擬制世帯主"</formula1>
    </dataValidation>
    <dataValidation type="list" allowBlank="1" showInputMessage="1" showErrorMessage="1" sqref="AE12:AE21">
      <formula1>"被保険者,"</formula1>
    </dataValidation>
  </dataValidations>
  <printOptions/>
  <pageMargins left="0.7086614173228347" right="0.2362204724409449" top="0.7086614173228347" bottom="0.2755905511811024" header="0.5118110236220472" footer="0.1968503937007874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38"/>
  <sheetViews>
    <sheetView showZeros="0" zoomScaleSheetLayoutView="100" zoomScalePageLayoutView="0" workbookViewId="0" topLeftCell="A1">
      <selection activeCell="AG41" sqref="AG41"/>
    </sheetView>
  </sheetViews>
  <sheetFormatPr defaultColWidth="9.140625" defaultRowHeight="15"/>
  <cols>
    <col min="1" max="1" width="0.42578125" style="59" customWidth="1"/>
    <col min="2" max="3" width="3.57421875" style="59" customWidth="1"/>
    <col min="4" max="27" width="3.8515625" style="59" customWidth="1"/>
    <col min="28" max="28" width="2.57421875" style="59" customWidth="1"/>
    <col min="29" max="29" width="3.140625" style="2" customWidth="1"/>
    <col min="30" max="30" width="3.57421875" style="59" customWidth="1"/>
    <col min="31" max="31" width="13.8515625" style="59" bestFit="1" customWidth="1"/>
    <col min="32" max="33" width="10.7109375" style="59" customWidth="1"/>
    <col min="34" max="34" width="16.00390625" style="59" bestFit="1" customWidth="1"/>
    <col min="35" max="35" width="9.421875" style="59" bestFit="1" customWidth="1"/>
    <col min="36" max="36" width="8.421875" style="59" bestFit="1" customWidth="1"/>
    <col min="37" max="37" width="9.421875" style="59" bestFit="1" customWidth="1"/>
    <col min="38" max="38" width="13.8515625" style="59" bestFit="1" customWidth="1"/>
    <col min="39" max="39" width="11.57421875" style="59" bestFit="1" customWidth="1"/>
    <col min="40" max="40" width="20.421875" style="59" bestFit="1" customWidth="1"/>
    <col min="41" max="41" width="13.8515625" style="59" bestFit="1" customWidth="1"/>
    <col min="42" max="46" width="10.7109375" style="59" customWidth="1"/>
    <col min="47" max="47" width="10.7109375" style="29" customWidth="1"/>
    <col min="48" max="50" width="10.7109375" style="59" customWidth="1"/>
    <col min="51" max="16384" width="9.00390625" style="59" customWidth="1"/>
  </cols>
  <sheetData>
    <row r="1" spans="4:26" ht="15" customHeight="1">
      <c r="D1" s="128">
        <v>45018</v>
      </c>
      <c r="E1" s="128"/>
      <c r="F1" s="128"/>
      <c r="G1" s="128"/>
      <c r="H1" s="128"/>
      <c r="I1" s="128"/>
      <c r="J1" s="128"/>
      <c r="K1" s="53"/>
      <c r="L1" s="62" t="s">
        <v>89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3:26" ht="15" customHeight="1">
      <c r="C2" s="49"/>
      <c r="D2" s="128"/>
      <c r="E2" s="128"/>
      <c r="F2" s="128"/>
      <c r="G2" s="128"/>
      <c r="H2" s="128"/>
      <c r="I2" s="128"/>
      <c r="J2" s="128"/>
      <c r="K2" s="5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30:36" ht="6.75" customHeight="1">
      <c r="AD3" s="20"/>
      <c r="AE3" s="20"/>
      <c r="AF3" s="20"/>
      <c r="AG3" s="20"/>
      <c r="AH3" s="20"/>
      <c r="AI3" s="20"/>
      <c r="AJ3" s="20"/>
    </row>
    <row r="4" spans="2:47" ht="18.75" customHeight="1">
      <c r="B4" s="60" t="s">
        <v>0</v>
      </c>
      <c r="C4" s="82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U4" s="59"/>
    </row>
    <row r="5" ht="9.75" customHeight="1">
      <c r="AU5" s="59"/>
    </row>
    <row r="6" spans="2:47" ht="20.25" customHeight="1">
      <c r="B6" s="83" t="s">
        <v>2</v>
      </c>
      <c r="C6" s="86" t="s">
        <v>3</v>
      </c>
      <c r="D6" s="86"/>
      <c r="E6" s="86"/>
      <c r="F6" s="86"/>
      <c r="G6" s="86"/>
      <c r="H6" s="88" t="s">
        <v>60</v>
      </c>
      <c r="I6" s="89"/>
      <c r="J6" s="89"/>
      <c r="K6" s="89"/>
      <c r="L6" s="89"/>
      <c r="M6" s="89"/>
      <c r="N6" s="89"/>
      <c r="O6" s="89"/>
      <c r="P6" s="89"/>
      <c r="Q6" s="90"/>
      <c r="R6" s="94" t="s">
        <v>58</v>
      </c>
      <c r="S6" s="95"/>
      <c r="T6" s="96"/>
      <c r="U6" s="100" t="s">
        <v>4</v>
      </c>
      <c r="V6" s="100"/>
      <c r="W6" s="100"/>
      <c r="X6" s="102">
        <f>ROUNDDOWN(AL22*'試算表計算用DB'!D2,-2)</f>
        <v>175000</v>
      </c>
      <c r="Y6" s="103"/>
      <c r="Z6" s="103"/>
      <c r="AA6" s="104"/>
      <c r="AB6" s="108" t="s">
        <v>5</v>
      </c>
      <c r="AU6" s="59"/>
    </row>
    <row r="7" spans="2:47" ht="19.5" customHeight="1">
      <c r="B7" s="84"/>
      <c r="C7" s="87"/>
      <c r="D7" s="87"/>
      <c r="E7" s="87"/>
      <c r="F7" s="87"/>
      <c r="G7" s="87"/>
      <c r="H7" s="91"/>
      <c r="I7" s="92"/>
      <c r="J7" s="92"/>
      <c r="K7" s="92"/>
      <c r="L7" s="92"/>
      <c r="M7" s="92"/>
      <c r="N7" s="92"/>
      <c r="O7" s="92"/>
      <c r="P7" s="92"/>
      <c r="Q7" s="93"/>
      <c r="R7" s="97"/>
      <c r="S7" s="98"/>
      <c r="T7" s="99"/>
      <c r="U7" s="101"/>
      <c r="V7" s="101"/>
      <c r="W7" s="101"/>
      <c r="X7" s="105"/>
      <c r="Y7" s="106"/>
      <c r="Z7" s="106"/>
      <c r="AA7" s="107"/>
      <c r="AB7" s="109"/>
      <c r="AE7" s="59" t="s">
        <v>61</v>
      </c>
      <c r="AF7" s="43">
        <f>COUNTIF(AE11:AE21,"世帯主")+COUNTIF(AE11:AE21,"被保険者")</f>
        <v>5</v>
      </c>
      <c r="AG7" s="50">
        <f>DATE(YEAR(D1)-6,MONTH(D1),DAY(D1))</f>
        <v>42827</v>
      </c>
      <c r="AH7" s="51" t="s">
        <v>87</v>
      </c>
      <c r="AJ7" s="29"/>
      <c r="AU7" s="59"/>
    </row>
    <row r="8" spans="2:47" ht="20.25" customHeight="1">
      <c r="B8" s="84"/>
      <c r="C8" s="87"/>
      <c r="D8" s="87"/>
      <c r="E8" s="87"/>
      <c r="F8" s="87"/>
      <c r="G8" s="87"/>
      <c r="H8" s="91" t="s">
        <v>60</v>
      </c>
      <c r="I8" s="92"/>
      <c r="J8" s="92"/>
      <c r="K8" s="92"/>
      <c r="L8" s="92"/>
      <c r="M8" s="92"/>
      <c r="N8" s="92"/>
      <c r="O8" s="92"/>
      <c r="P8" s="92"/>
      <c r="Q8" s="93"/>
      <c r="R8" s="110" t="s">
        <v>6</v>
      </c>
      <c r="S8" s="111"/>
      <c r="T8" s="112"/>
      <c r="U8" s="114" t="s">
        <v>7</v>
      </c>
      <c r="V8" s="114"/>
      <c r="W8" s="114"/>
      <c r="X8" s="115">
        <f>ROUNDDOWN(AL22*'試算表計算用DB'!D3,-2)</f>
        <v>65000</v>
      </c>
      <c r="Y8" s="116"/>
      <c r="Z8" s="116"/>
      <c r="AA8" s="117"/>
      <c r="AB8" s="118" t="s">
        <v>5</v>
      </c>
      <c r="AE8" s="59" t="s">
        <v>62</v>
      </c>
      <c r="AF8" s="43">
        <f>COUNTIF(AK11:AK21,"介護該当")</f>
        <v>0</v>
      </c>
      <c r="AG8" s="29"/>
      <c r="AH8" s="29"/>
      <c r="AI8" s="29"/>
      <c r="AJ8" s="29"/>
      <c r="AU8" s="59"/>
    </row>
    <row r="9" spans="2:47" ht="20.25" customHeight="1">
      <c r="B9" s="84"/>
      <c r="C9" s="119" t="s">
        <v>8</v>
      </c>
      <c r="D9" s="120"/>
      <c r="E9" s="120"/>
      <c r="F9" s="120"/>
      <c r="G9" s="121"/>
      <c r="H9" s="91"/>
      <c r="I9" s="92"/>
      <c r="J9" s="92"/>
      <c r="K9" s="92"/>
      <c r="L9" s="92"/>
      <c r="M9" s="92"/>
      <c r="N9" s="92"/>
      <c r="O9" s="92"/>
      <c r="P9" s="92"/>
      <c r="Q9" s="93"/>
      <c r="R9" s="113"/>
      <c r="S9" s="111"/>
      <c r="T9" s="112"/>
      <c r="U9" s="114"/>
      <c r="V9" s="114"/>
      <c r="W9" s="114"/>
      <c r="X9" s="115"/>
      <c r="Y9" s="116"/>
      <c r="Z9" s="116"/>
      <c r="AA9" s="117"/>
      <c r="AB9" s="118"/>
      <c r="AE9" s="40" t="s">
        <v>77</v>
      </c>
      <c r="AF9" s="44">
        <f>COUNTIF(AN11:AN21,"給与所得がある")+COUNTIF(AN11:AN21,"年金所得がある（65歳未満）")+COUNTIF(AN11:AN21,"給与所得があり、年金所得が15万円以下（65歳以上）")+COUNTIF(AN11:AN21,"年金所得が15万円超（65歳以上）")</f>
        <v>4</v>
      </c>
      <c r="AG9" s="39"/>
      <c r="AH9" s="39"/>
      <c r="AU9" s="59"/>
    </row>
    <row r="10" spans="2:47" ht="20.25" customHeight="1" thickBot="1">
      <c r="B10" s="84"/>
      <c r="C10" s="122" t="s">
        <v>88</v>
      </c>
      <c r="D10" s="123"/>
      <c r="E10" s="123"/>
      <c r="F10" s="123"/>
      <c r="G10" s="124"/>
      <c r="H10" s="91" t="s">
        <v>60</v>
      </c>
      <c r="I10" s="92"/>
      <c r="J10" s="92"/>
      <c r="K10" s="92"/>
      <c r="L10" s="92"/>
      <c r="M10" s="92"/>
      <c r="N10" s="92"/>
      <c r="O10" s="92"/>
      <c r="P10" s="92"/>
      <c r="Q10" s="93"/>
      <c r="R10" s="63" t="s">
        <v>59</v>
      </c>
      <c r="S10" s="64"/>
      <c r="T10" s="65"/>
      <c r="U10" s="69" t="s">
        <v>9</v>
      </c>
      <c r="V10" s="69"/>
      <c r="W10" s="69"/>
      <c r="X10" s="71">
        <f>ROUNDDOWN(AM22*'試算表計算用DB'!D4,-2)</f>
        <v>0</v>
      </c>
      <c r="Y10" s="72"/>
      <c r="Z10" s="72"/>
      <c r="AA10" s="73"/>
      <c r="AB10" s="77" t="s">
        <v>5</v>
      </c>
      <c r="AC10" s="2" t="s">
        <v>10</v>
      </c>
      <c r="AE10" s="3" t="s">
        <v>72</v>
      </c>
      <c r="AF10" s="3" t="s">
        <v>79</v>
      </c>
      <c r="AG10" s="3" t="s">
        <v>80</v>
      </c>
      <c r="AH10" s="3" t="s">
        <v>81</v>
      </c>
      <c r="AI10" s="3" t="s">
        <v>75</v>
      </c>
      <c r="AJ10" s="3" t="s">
        <v>76</v>
      </c>
      <c r="AK10" s="52" t="s">
        <v>73</v>
      </c>
      <c r="AL10" s="3" t="s">
        <v>71</v>
      </c>
      <c r="AM10" s="3" t="s">
        <v>85</v>
      </c>
      <c r="AN10" s="3" t="s">
        <v>78</v>
      </c>
      <c r="AO10" s="3" t="s">
        <v>74</v>
      </c>
      <c r="AU10" s="59"/>
    </row>
    <row r="11" spans="2:47" ht="20.25" customHeight="1" thickBot="1">
      <c r="B11" s="85"/>
      <c r="C11" s="79" t="s">
        <v>11</v>
      </c>
      <c r="D11" s="80"/>
      <c r="E11" s="80"/>
      <c r="F11" s="80"/>
      <c r="G11" s="81"/>
      <c r="H11" s="125"/>
      <c r="I11" s="126"/>
      <c r="J11" s="126"/>
      <c r="K11" s="126"/>
      <c r="L11" s="126"/>
      <c r="M11" s="126"/>
      <c r="N11" s="126"/>
      <c r="O11" s="126"/>
      <c r="P11" s="126"/>
      <c r="Q11" s="127"/>
      <c r="R11" s="66"/>
      <c r="S11" s="67"/>
      <c r="T11" s="68"/>
      <c r="U11" s="70"/>
      <c r="V11" s="70"/>
      <c r="W11" s="70"/>
      <c r="X11" s="74"/>
      <c r="Y11" s="75"/>
      <c r="Z11" s="75"/>
      <c r="AA11" s="76"/>
      <c r="AB11" s="78"/>
      <c r="AE11" s="31" t="s">
        <v>90</v>
      </c>
      <c r="AF11" s="34"/>
      <c r="AG11" s="34">
        <v>750000</v>
      </c>
      <c r="AH11" s="34"/>
      <c r="AI11" s="36">
        <v>19725</v>
      </c>
      <c r="AJ11" s="38">
        <f ca="1">IF(AI11="","",DATEDIF(AI11,TODAY(),"Y"))</f>
        <v>69</v>
      </c>
      <c r="AK11" s="37">
        <f>IF(AE11="世帯主",IF(AND(AJ11&lt;=64,40&lt;=AJ11),"介護該当",""),"")</f>
      </c>
      <c r="AL11" s="28">
        <f>IF(AE11="世帯主",IF(AF11+AG11+AH11&gt;'試算表計算用DB'!$B$5,AF11+AG11+AH11-'試算表計算用DB'!$B$5,0),0)</f>
        <v>320000</v>
      </c>
      <c r="AM11" s="28">
        <f>IF(AK11="介護該当",AL11,0)</f>
        <v>0</v>
      </c>
      <c r="AN11" s="42" t="str">
        <f>IF(AJ11&lt;=64,IF(AF11&gt;0,"給与所得がある",IF(AG11&gt;0,"年金所得がある（65歳未満）","")),IF(AG11&gt;150000,"年金所得が15万円超（65歳以上）",IF(AF11&gt;0,"給与所得があり、年金所得が15万円以下（65歳以上）","")))</f>
        <v>年金所得が15万円超（65歳以上）</v>
      </c>
      <c r="AO11" s="41">
        <f>IF(AN11="年金所得が15万円超（65歳以上）",AF11+AG11+AH11-150000,IF(AJ11&lt;65,AF11+AG11+AH11,AF11+AH11))</f>
        <v>600000</v>
      </c>
      <c r="AU11" s="59"/>
    </row>
    <row r="12" spans="2:47" ht="17.25" customHeight="1" thickBot="1">
      <c r="B12" s="149" t="s">
        <v>12</v>
      </c>
      <c r="C12" s="152" t="s">
        <v>13</v>
      </c>
      <c r="D12" s="152"/>
      <c r="E12" s="152"/>
      <c r="F12" s="152"/>
      <c r="G12" s="152"/>
      <c r="H12" s="154" t="s">
        <v>14</v>
      </c>
      <c r="I12" s="154"/>
      <c r="J12" s="154"/>
      <c r="K12" s="155"/>
      <c r="L12" s="158">
        <f>'試算表計算用DB'!B2</f>
        <v>10000</v>
      </c>
      <c r="M12" s="159"/>
      <c r="N12" s="159"/>
      <c r="O12" s="159"/>
      <c r="P12" s="161" t="s">
        <v>15</v>
      </c>
      <c r="Q12" s="56"/>
      <c r="R12" s="163" t="s">
        <v>49</v>
      </c>
      <c r="S12" s="136">
        <f>AF7</f>
        <v>5</v>
      </c>
      <c r="T12" s="138" t="s">
        <v>50</v>
      </c>
      <c r="U12" s="140" t="s">
        <v>16</v>
      </c>
      <c r="V12" s="141"/>
      <c r="W12" s="142"/>
      <c r="X12" s="143">
        <f>IF($AO$27="軽減無し",'試算表計算用DB'!B2*AF7,IF($AO$27="２割軽減",'試算表計算用DB'!B2*AF7*0.8,IF($AO$27="５割軽減",'試算表計算用DB'!B2*AF7*0.5,IF($AO$27="7割軽減",'試算表計算用DB'!B2*AF7*0.3,'試算表計算用DB'!B2*AF7))))</f>
        <v>50000</v>
      </c>
      <c r="Y12" s="144"/>
      <c r="Z12" s="144"/>
      <c r="AA12" s="145"/>
      <c r="AB12" s="108" t="s">
        <v>5</v>
      </c>
      <c r="AE12" s="31" t="s">
        <v>91</v>
      </c>
      <c r="AF12" s="34"/>
      <c r="AG12" s="34">
        <v>500000</v>
      </c>
      <c r="AH12" s="34"/>
      <c r="AI12" s="36">
        <v>20455</v>
      </c>
      <c r="AJ12" s="38">
        <f aca="true" ca="1" t="shared" si="0" ref="AJ12:AJ21">IF(AI12="","",DATEDIF(AI12,TODAY(),"Y"))</f>
        <v>67</v>
      </c>
      <c r="AK12" s="37">
        <f aca="true" t="shared" si="1" ref="AK12:AK21">IF(AND(AJ12&lt;=64,40&lt;=AJ12),"介護該当","")</f>
      </c>
      <c r="AL12" s="28">
        <f>IF(AF12+AG12+AH12&gt;'試算表計算用DB'!$B$5,AF12+AG12+AH12-'試算表計算用DB'!$B$5,0)</f>
        <v>70000</v>
      </c>
      <c r="AM12" s="28">
        <f aca="true" t="shared" si="2" ref="AM12:AM21">IF(AK12="介護該当",AL12,0)</f>
        <v>0</v>
      </c>
      <c r="AN12" s="42" t="str">
        <f aca="true" t="shared" si="3" ref="AN12:AN21">IF(AJ12&lt;=64,IF(AF12&gt;0,"給与所得がある",IF(AG12&gt;0,"年金所得がある（65歳未満）","")),IF(AG12&gt;150000,"年金所得が15万円超（65歳以上）",IF(AF12&gt;0,"給与所得があり、年金所得が15万円以下（65歳以上）","")))</f>
        <v>年金所得が15万円超（65歳以上）</v>
      </c>
      <c r="AO12" s="41">
        <f>IF(AN12="年金所得が15万円超（65歳以上）",AF12+AG12+AH12-150000,IF(AJ12&lt;65,AF12+AG12+AH12,AF12+AH12))</f>
        <v>350000</v>
      </c>
      <c r="AU12" s="59"/>
    </row>
    <row r="13" spans="2:47" ht="17.25" customHeight="1" thickBot="1">
      <c r="B13" s="150"/>
      <c r="C13" s="153"/>
      <c r="D13" s="153"/>
      <c r="E13" s="153"/>
      <c r="F13" s="153"/>
      <c r="G13" s="153"/>
      <c r="H13" s="156"/>
      <c r="I13" s="156"/>
      <c r="J13" s="156"/>
      <c r="K13" s="157"/>
      <c r="L13" s="160"/>
      <c r="M13" s="160"/>
      <c r="N13" s="160"/>
      <c r="O13" s="160"/>
      <c r="P13" s="162"/>
      <c r="Q13" s="5"/>
      <c r="R13" s="139"/>
      <c r="S13" s="137"/>
      <c r="T13" s="139"/>
      <c r="U13" s="133"/>
      <c r="V13" s="134"/>
      <c r="W13" s="135"/>
      <c r="X13" s="146"/>
      <c r="Y13" s="147"/>
      <c r="Z13" s="147"/>
      <c r="AA13" s="148"/>
      <c r="AB13" s="118"/>
      <c r="AE13" s="31" t="s">
        <v>91</v>
      </c>
      <c r="AF13" s="34">
        <v>2500000</v>
      </c>
      <c r="AG13" s="34"/>
      <c r="AH13" s="34"/>
      <c r="AI13" s="36">
        <v>31810</v>
      </c>
      <c r="AJ13" s="38">
        <f ca="1" t="shared" si="0"/>
        <v>36</v>
      </c>
      <c r="AK13" s="37">
        <f t="shared" si="1"/>
      </c>
      <c r="AL13" s="28">
        <f>IF(AF13+AG13+AH13&gt;'試算表計算用DB'!$B$5,AF13+AG13+AH13-'試算表計算用DB'!$B$5,0)</f>
        <v>2070000</v>
      </c>
      <c r="AM13" s="28">
        <f t="shared" si="2"/>
        <v>0</v>
      </c>
      <c r="AN13" s="42" t="str">
        <f t="shared" si="3"/>
        <v>給与所得がある</v>
      </c>
      <c r="AO13" s="41">
        <f aca="true" t="shared" si="4" ref="AO13:AO21">IF(AN13="年金所得が15万円超（65歳以上）",AF13+AG13+AH13-150000,IF(AJ13&lt;65,AF13+AG13+AH13,AF13+AH13))</f>
        <v>2500000</v>
      </c>
      <c r="AU13" s="59"/>
    </row>
    <row r="14" spans="2:47" ht="17.25" customHeight="1" thickBot="1">
      <c r="B14" s="150"/>
      <c r="C14" s="153"/>
      <c r="D14" s="153"/>
      <c r="E14" s="153"/>
      <c r="F14" s="153"/>
      <c r="G14" s="153"/>
      <c r="H14" s="156" t="s">
        <v>17</v>
      </c>
      <c r="I14" s="156"/>
      <c r="J14" s="156"/>
      <c r="K14" s="157"/>
      <c r="L14" s="164">
        <f>'試算表計算用DB'!B3</f>
        <v>7000</v>
      </c>
      <c r="M14" s="160"/>
      <c r="N14" s="160"/>
      <c r="O14" s="160"/>
      <c r="P14" s="162" t="s">
        <v>15</v>
      </c>
      <c r="Q14" s="6"/>
      <c r="R14" s="195" t="s">
        <v>49</v>
      </c>
      <c r="S14" s="129">
        <f>AF7</f>
        <v>5</v>
      </c>
      <c r="T14" s="131" t="s">
        <v>50</v>
      </c>
      <c r="U14" s="133" t="s">
        <v>18</v>
      </c>
      <c r="V14" s="134"/>
      <c r="W14" s="135"/>
      <c r="X14" s="143">
        <f>IF($AO$27="軽減無し",'試算表計算用DB'!B3*AF7,IF($AO$27="２割軽減",'試算表計算用DB'!B3*AF7*0.8,IF($AO$27="５割軽減",'試算表計算用DB'!B3*AF7*0.5,IF($AO$27="7割軽減",'試算表計算用DB'!B3*AF7*0.3,'試算表計算用DB'!B3*AF7))))</f>
        <v>35000</v>
      </c>
      <c r="Y14" s="144"/>
      <c r="Z14" s="144"/>
      <c r="AA14" s="145"/>
      <c r="AB14" s="118" t="s">
        <v>5</v>
      </c>
      <c r="AE14" s="31" t="s">
        <v>91</v>
      </c>
      <c r="AF14" s="34">
        <v>470000</v>
      </c>
      <c r="AG14" s="34"/>
      <c r="AH14" s="34"/>
      <c r="AI14" s="36">
        <v>32205</v>
      </c>
      <c r="AJ14" s="38">
        <f ca="1" t="shared" si="0"/>
        <v>35</v>
      </c>
      <c r="AK14" s="37">
        <f t="shared" si="1"/>
      </c>
      <c r="AL14" s="28">
        <f>IF(AF14+AG14+AH14&gt;'試算表計算用DB'!$B$5,AF14+AG14+AH14-'試算表計算用DB'!$B$5,0)</f>
        <v>40000</v>
      </c>
      <c r="AM14" s="28">
        <f t="shared" si="2"/>
        <v>0</v>
      </c>
      <c r="AN14" s="42" t="str">
        <f t="shared" si="3"/>
        <v>給与所得がある</v>
      </c>
      <c r="AO14" s="41">
        <f t="shared" si="4"/>
        <v>470000</v>
      </c>
      <c r="AU14" s="59"/>
    </row>
    <row r="15" spans="2:47" ht="17.25" customHeight="1" thickBot="1">
      <c r="B15" s="150"/>
      <c r="C15" s="168" t="s">
        <v>19</v>
      </c>
      <c r="D15" s="168"/>
      <c r="E15" s="168"/>
      <c r="F15" s="168"/>
      <c r="G15" s="168"/>
      <c r="H15" s="156"/>
      <c r="I15" s="156"/>
      <c r="J15" s="156"/>
      <c r="K15" s="157"/>
      <c r="L15" s="160"/>
      <c r="M15" s="160"/>
      <c r="N15" s="160"/>
      <c r="O15" s="160"/>
      <c r="P15" s="162"/>
      <c r="Q15" s="5"/>
      <c r="R15" s="186"/>
      <c r="S15" s="130"/>
      <c r="T15" s="132"/>
      <c r="U15" s="133"/>
      <c r="V15" s="134"/>
      <c r="W15" s="135"/>
      <c r="X15" s="146"/>
      <c r="Y15" s="147"/>
      <c r="Z15" s="147"/>
      <c r="AA15" s="148"/>
      <c r="AB15" s="118"/>
      <c r="AE15" s="31" t="s">
        <v>91</v>
      </c>
      <c r="AF15" s="34"/>
      <c r="AG15" s="34"/>
      <c r="AH15" s="34"/>
      <c r="AI15" s="36">
        <v>41368</v>
      </c>
      <c r="AJ15" s="38">
        <f ca="1" t="shared" si="0"/>
        <v>10</v>
      </c>
      <c r="AK15" s="37">
        <f t="shared" si="1"/>
      </c>
      <c r="AL15" s="28">
        <f>IF(AF15+AG15+AH15&gt;'試算表計算用DB'!$B$5,AF15+AG15+AH15-'試算表計算用DB'!$B$5,0)</f>
        <v>0</v>
      </c>
      <c r="AM15" s="28">
        <f t="shared" si="2"/>
        <v>0</v>
      </c>
      <c r="AN15" s="42">
        <f t="shared" si="3"/>
      </c>
      <c r="AO15" s="41">
        <f t="shared" si="4"/>
        <v>0</v>
      </c>
      <c r="AU15" s="59"/>
    </row>
    <row r="16" spans="2:47" ht="17.25" customHeight="1" thickBot="1">
      <c r="B16" s="150"/>
      <c r="C16" s="168"/>
      <c r="D16" s="168"/>
      <c r="E16" s="168"/>
      <c r="F16" s="168"/>
      <c r="G16" s="168"/>
      <c r="H16" s="156" t="s">
        <v>17</v>
      </c>
      <c r="I16" s="156"/>
      <c r="J16" s="156"/>
      <c r="K16" s="157"/>
      <c r="L16" s="164">
        <f>'試算表計算用DB'!B4</f>
        <v>9000</v>
      </c>
      <c r="M16" s="160"/>
      <c r="N16" s="160"/>
      <c r="O16" s="160"/>
      <c r="P16" s="162" t="s">
        <v>15</v>
      </c>
      <c r="Q16" s="6"/>
      <c r="R16" s="139" t="s">
        <v>49</v>
      </c>
      <c r="S16" s="194">
        <f>AF8</f>
        <v>0</v>
      </c>
      <c r="T16" s="185" t="s">
        <v>50</v>
      </c>
      <c r="U16" s="187" t="s">
        <v>20</v>
      </c>
      <c r="V16" s="188"/>
      <c r="W16" s="189"/>
      <c r="X16" s="143">
        <f>IF(AF8&gt;0,IF($AO$27="軽減無し",'試算表計算用DB'!B4*AF8,IF($AO$27="２割軽減",'試算表計算用DB'!B4*AF8*0.8,IF($AO$27="５割軽減",'試算表計算用DB'!B4*AF8*0.5,IF($AO$27="7割軽減",'試算表計算用DB'!B4*AF8*0.3,'試算表計算用DB'!B4*AF8)))),0)</f>
        <v>0</v>
      </c>
      <c r="Y16" s="144"/>
      <c r="Z16" s="144"/>
      <c r="AA16" s="145"/>
      <c r="AB16" s="118" t="s">
        <v>5</v>
      </c>
      <c r="AC16" s="2" t="s">
        <v>10</v>
      </c>
      <c r="AE16" s="31"/>
      <c r="AF16" s="34"/>
      <c r="AG16" s="34"/>
      <c r="AH16" s="34"/>
      <c r="AI16" s="36"/>
      <c r="AJ16" s="38">
        <f ca="1" t="shared" si="0"/>
      </c>
      <c r="AK16" s="37">
        <f t="shared" si="1"/>
      </c>
      <c r="AL16" s="28">
        <f>IF(AF16+AG16+AH16&gt;'試算表計算用DB'!$B$5,AF16+AG16+AH16-'試算表計算用DB'!$B$5,0)</f>
        <v>0</v>
      </c>
      <c r="AM16" s="28">
        <f t="shared" si="2"/>
        <v>0</v>
      </c>
      <c r="AN16" s="42">
        <f t="shared" si="3"/>
      </c>
      <c r="AO16" s="41">
        <f t="shared" si="4"/>
        <v>0</v>
      </c>
      <c r="AU16" s="59"/>
    </row>
    <row r="17" spans="2:47" ht="17.25" customHeight="1" thickBot="1">
      <c r="B17" s="150"/>
      <c r="C17" s="169"/>
      <c r="D17" s="169"/>
      <c r="E17" s="169"/>
      <c r="F17" s="169"/>
      <c r="G17" s="169"/>
      <c r="H17" s="193"/>
      <c r="I17" s="193"/>
      <c r="J17" s="193"/>
      <c r="K17" s="171"/>
      <c r="L17" s="173"/>
      <c r="M17" s="173"/>
      <c r="N17" s="173"/>
      <c r="O17" s="173"/>
      <c r="P17" s="174"/>
      <c r="Q17" s="58"/>
      <c r="R17" s="186"/>
      <c r="S17" s="130"/>
      <c r="T17" s="186"/>
      <c r="U17" s="190"/>
      <c r="V17" s="191"/>
      <c r="W17" s="192"/>
      <c r="X17" s="146"/>
      <c r="Y17" s="147"/>
      <c r="Z17" s="147"/>
      <c r="AA17" s="148"/>
      <c r="AB17" s="78"/>
      <c r="AE17" s="31"/>
      <c r="AF17" s="34"/>
      <c r="AG17" s="34"/>
      <c r="AH17" s="34"/>
      <c r="AI17" s="36"/>
      <c r="AJ17" s="38">
        <f ca="1" t="shared" si="0"/>
      </c>
      <c r="AK17" s="37">
        <f t="shared" si="1"/>
      </c>
      <c r="AL17" s="28">
        <f>IF(AF17+AG17+AH17&gt;'試算表計算用DB'!$B$5,AF17+AG17+AH17-'試算表計算用DB'!$B$5,0)</f>
        <v>0</v>
      </c>
      <c r="AM17" s="28">
        <f t="shared" si="2"/>
        <v>0</v>
      </c>
      <c r="AN17" s="42">
        <f t="shared" si="3"/>
      </c>
      <c r="AO17" s="41">
        <f t="shared" si="4"/>
        <v>0</v>
      </c>
      <c r="AU17" s="59"/>
    </row>
    <row r="18" spans="2:47" ht="17.25" customHeight="1" thickBot="1">
      <c r="B18" s="150"/>
      <c r="C18" s="152" t="s">
        <v>21</v>
      </c>
      <c r="D18" s="152"/>
      <c r="E18" s="152"/>
      <c r="F18" s="152"/>
      <c r="G18" s="152"/>
      <c r="H18" s="155" t="s">
        <v>22</v>
      </c>
      <c r="I18" s="181"/>
      <c r="J18" s="181"/>
      <c r="K18" s="181"/>
      <c r="L18" s="158">
        <f>'試算表計算用DB'!C2</f>
        <v>20000</v>
      </c>
      <c r="M18" s="159"/>
      <c r="N18" s="159"/>
      <c r="O18" s="159"/>
      <c r="P18" s="161" t="s">
        <v>15</v>
      </c>
      <c r="Q18" s="56"/>
      <c r="R18" s="56"/>
      <c r="S18" s="56"/>
      <c r="T18" s="8"/>
      <c r="U18" s="182" t="s">
        <v>23</v>
      </c>
      <c r="V18" s="183"/>
      <c r="W18" s="184"/>
      <c r="X18" s="143">
        <f>IF(AF4&gt;0,IF($AO$27="軽減無し",試算表計算用DB!#REF!,IF($AO$27="２割軽減",試算表計算用DB!#REF!*0.8,IF($AO$27="５割軽減",試算表計算用DB!#REF!*0.5,IF($AO$27="7割軽減",試算表計算用DB!#REF!*0.3,試算表計算用DB!#REF!)))),0)</f>
        <v>0</v>
      </c>
      <c r="Y18" s="144"/>
      <c r="Z18" s="144"/>
      <c r="AA18" s="145"/>
      <c r="AB18" s="108" t="s">
        <v>5</v>
      </c>
      <c r="AE18" s="31"/>
      <c r="AF18" s="34"/>
      <c r="AG18" s="34"/>
      <c r="AH18" s="34"/>
      <c r="AI18" s="36"/>
      <c r="AJ18" s="38">
        <f ca="1" t="shared" si="0"/>
      </c>
      <c r="AK18" s="37">
        <f t="shared" si="1"/>
      </c>
      <c r="AL18" s="28">
        <f>IF(AF18+AG18+AH18&gt;'試算表計算用DB'!$B$5,AF18+AG18+AH18-'試算表計算用DB'!$B$5,0)</f>
        <v>0</v>
      </c>
      <c r="AM18" s="28">
        <f t="shared" si="2"/>
        <v>0</v>
      </c>
      <c r="AN18" s="42">
        <f t="shared" si="3"/>
      </c>
      <c r="AO18" s="41">
        <f t="shared" si="4"/>
        <v>0</v>
      </c>
      <c r="AU18" s="59"/>
    </row>
    <row r="19" spans="2:47" ht="17.25" customHeight="1" thickBot="1">
      <c r="B19" s="150"/>
      <c r="C19" s="153"/>
      <c r="D19" s="153"/>
      <c r="E19" s="153"/>
      <c r="F19" s="153"/>
      <c r="G19" s="153"/>
      <c r="H19" s="157"/>
      <c r="I19" s="170"/>
      <c r="J19" s="170"/>
      <c r="K19" s="170"/>
      <c r="L19" s="160"/>
      <c r="M19" s="160"/>
      <c r="N19" s="160"/>
      <c r="O19" s="160"/>
      <c r="P19" s="162"/>
      <c r="Q19" s="5"/>
      <c r="R19" s="5"/>
      <c r="S19" s="5"/>
      <c r="T19" s="9"/>
      <c r="U19" s="165"/>
      <c r="V19" s="166"/>
      <c r="W19" s="167"/>
      <c r="X19" s="146"/>
      <c r="Y19" s="147"/>
      <c r="Z19" s="147"/>
      <c r="AA19" s="148"/>
      <c r="AB19" s="118"/>
      <c r="AE19" s="31"/>
      <c r="AF19" s="34"/>
      <c r="AG19" s="34"/>
      <c r="AH19" s="34"/>
      <c r="AI19" s="36"/>
      <c r="AJ19" s="38">
        <f ca="1" t="shared" si="0"/>
      </c>
      <c r="AK19" s="37">
        <f t="shared" si="1"/>
      </c>
      <c r="AL19" s="28">
        <f>IF(AF19+AG19+AH19&gt;'試算表計算用DB'!$B$5,AF19+AG19+AH19-'試算表計算用DB'!$B$5,0)</f>
        <v>0</v>
      </c>
      <c r="AM19" s="28">
        <f t="shared" si="2"/>
        <v>0</v>
      </c>
      <c r="AN19" s="42">
        <f t="shared" si="3"/>
      </c>
      <c r="AO19" s="41">
        <f t="shared" si="4"/>
        <v>0</v>
      </c>
      <c r="AU19" s="59"/>
    </row>
    <row r="20" spans="2:47" ht="17.25" customHeight="1" thickBot="1">
      <c r="B20" s="150"/>
      <c r="C20" s="153"/>
      <c r="D20" s="153"/>
      <c r="E20" s="153"/>
      <c r="F20" s="153"/>
      <c r="G20" s="153"/>
      <c r="H20" s="157" t="s">
        <v>22</v>
      </c>
      <c r="I20" s="170"/>
      <c r="J20" s="170"/>
      <c r="K20" s="170"/>
      <c r="L20" s="164">
        <f>'試算表計算用DB'!C3</f>
        <v>7000</v>
      </c>
      <c r="M20" s="160"/>
      <c r="N20" s="160"/>
      <c r="O20" s="160"/>
      <c r="P20" s="162" t="s">
        <v>15</v>
      </c>
      <c r="Q20" s="6"/>
      <c r="R20" s="6"/>
      <c r="S20" s="6"/>
      <c r="T20" s="10"/>
      <c r="U20" s="165" t="s">
        <v>24</v>
      </c>
      <c r="V20" s="166"/>
      <c r="W20" s="167"/>
      <c r="X20" s="143">
        <f>IF(AF6&gt;0,IF($AO$27="軽減無し",'試算表計算用DB'!C2,IF($AO$27="２割軽減",'試算表計算用DB'!C2*0.8,IF($AO$27="５割軽減",'試算表計算用DB'!C2*0.5,IF($AO$27="7割軽減",'試算表計算用DB'!C2*0.3,'試算表計算用DB'!C2)))),0)</f>
        <v>0</v>
      </c>
      <c r="Y20" s="144"/>
      <c r="Z20" s="144"/>
      <c r="AA20" s="145"/>
      <c r="AB20" s="118" t="s">
        <v>5</v>
      </c>
      <c r="AE20" s="31"/>
      <c r="AF20" s="34"/>
      <c r="AG20" s="34"/>
      <c r="AH20" s="34"/>
      <c r="AI20" s="36"/>
      <c r="AJ20" s="38">
        <f ca="1" t="shared" si="0"/>
      </c>
      <c r="AK20" s="37">
        <f t="shared" si="1"/>
      </c>
      <c r="AL20" s="28">
        <f>IF(AF20+AG20+AH20&gt;'試算表計算用DB'!$B$5,AF20+AG20+AH20-'試算表計算用DB'!$B$5,0)</f>
        <v>0</v>
      </c>
      <c r="AM20" s="28">
        <f t="shared" si="2"/>
        <v>0</v>
      </c>
      <c r="AN20" s="42">
        <f t="shared" si="3"/>
      </c>
      <c r="AO20" s="41">
        <f t="shared" si="4"/>
        <v>0</v>
      </c>
      <c r="AU20" s="59"/>
    </row>
    <row r="21" spans="2:47" ht="17.25" customHeight="1" thickBot="1">
      <c r="B21" s="150"/>
      <c r="C21" s="168" t="s">
        <v>25</v>
      </c>
      <c r="D21" s="168"/>
      <c r="E21" s="168"/>
      <c r="F21" s="168"/>
      <c r="G21" s="168"/>
      <c r="H21" s="157"/>
      <c r="I21" s="170"/>
      <c r="J21" s="170"/>
      <c r="K21" s="170"/>
      <c r="L21" s="160"/>
      <c r="M21" s="160"/>
      <c r="N21" s="160"/>
      <c r="O21" s="160"/>
      <c r="P21" s="162"/>
      <c r="Q21" s="5"/>
      <c r="R21" s="5"/>
      <c r="S21" s="5"/>
      <c r="T21" s="9"/>
      <c r="U21" s="165"/>
      <c r="V21" s="166"/>
      <c r="W21" s="167"/>
      <c r="X21" s="146"/>
      <c r="Y21" s="147"/>
      <c r="Z21" s="147"/>
      <c r="AA21" s="148"/>
      <c r="AB21" s="118"/>
      <c r="AE21" s="31"/>
      <c r="AF21" s="34"/>
      <c r="AG21" s="34"/>
      <c r="AH21" s="34"/>
      <c r="AI21" s="36"/>
      <c r="AJ21" s="38">
        <f ca="1" t="shared" si="0"/>
      </c>
      <c r="AK21" s="37">
        <f t="shared" si="1"/>
      </c>
      <c r="AL21" s="48">
        <f>IF(AF21+AG21+AH21&gt;'試算表計算用DB'!$B$5,AF21+AG21+AH21-'試算表計算用DB'!$B$5,0)</f>
        <v>0</v>
      </c>
      <c r="AM21" s="48">
        <f t="shared" si="2"/>
        <v>0</v>
      </c>
      <c r="AN21" s="42">
        <f t="shared" si="3"/>
      </c>
      <c r="AO21" s="41">
        <f t="shared" si="4"/>
        <v>0</v>
      </c>
      <c r="AU21" s="59"/>
    </row>
    <row r="22" spans="2:47" ht="17.25" customHeight="1" thickBot="1">
      <c r="B22" s="150"/>
      <c r="C22" s="168"/>
      <c r="D22" s="168"/>
      <c r="E22" s="168"/>
      <c r="F22" s="168"/>
      <c r="G22" s="168"/>
      <c r="H22" s="157" t="s">
        <v>22</v>
      </c>
      <c r="I22" s="170"/>
      <c r="J22" s="170"/>
      <c r="K22" s="170"/>
      <c r="L22" s="164">
        <f>'試算表計算用DB'!C4</f>
        <v>6000</v>
      </c>
      <c r="M22" s="160"/>
      <c r="N22" s="160"/>
      <c r="O22" s="160"/>
      <c r="P22" s="162" t="s">
        <v>15</v>
      </c>
      <c r="Q22" s="6"/>
      <c r="R22" s="6"/>
      <c r="S22" s="6"/>
      <c r="T22" s="10"/>
      <c r="U22" s="175" t="s">
        <v>26</v>
      </c>
      <c r="V22" s="176"/>
      <c r="W22" s="177"/>
      <c r="X22" s="143">
        <f>IF(AF8&gt;0,IF($AO$27="軽減無し",'試算表計算用DB'!C4,IF($AO$27="２割軽減",'試算表計算用DB'!C4*0.8,IF($AO$27="５割軽減",'試算表計算用DB'!C4*0.5,IF($AO$27="7割軽減",'試算表計算用DB'!C4*0.3,'試算表計算用DB'!C4)))),0)</f>
        <v>0</v>
      </c>
      <c r="Y22" s="144"/>
      <c r="Z22" s="144"/>
      <c r="AA22" s="145"/>
      <c r="AB22" s="118" t="s">
        <v>5</v>
      </c>
      <c r="AC22" s="2" t="s">
        <v>10</v>
      </c>
      <c r="AL22" s="35">
        <f>SUM(AL11:AL21)</f>
        <v>2500000</v>
      </c>
      <c r="AM22" s="35">
        <f>SUM(AM11:AM21)</f>
        <v>0</v>
      </c>
      <c r="AN22" s="39"/>
      <c r="AO22" s="35">
        <f>SUM(AO11:AO21)</f>
        <v>3920000</v>
      </c>
      <c r="AU22" s="59"/>
    </row>
    <row r="23" spans="2:47" ht="17.25" customHeight="1">
      <c r="B23" s="151"/>
      <c r="C23" s="169"/>
      <c r="D23" s="169"/>
      <c r="E23" s="169"/>
      <c r="F23" s="169"/>
      <c r="G23" s="169"/>
      <c r="H23" s="171"/>
      <c r="I23" s="172"/>
      <c r="J23" s="172"/>
      <c r="K23" s="172"/>
      <c r="L23" s="173"/>
      <c r="M23" s="173"/>
      <c r="N23" s="173"/>
      <c r="O23" s="173"/>
      <c r="P23" s="174"/>
      <c r="Q23" s="58"/>
      <c r="R23" s="58"/>
      <c r="S23" s="58"/>
      <c r="T23" s="11"/>
      <c r="U23" s="178"/>
      <c r="V23" s="179"/>
      <c r="W23" s="180"/>
      <c r="X23" s="146"/>
      <c r="Y23" s="147"/>
      <c r="Z23" s="147"/>
      <c r="AA23" s="148"/>
      <c r="AB23" s="78"/>
      <c r="AU23" s="59"/>
    </row>
    <row r="24" spans="2:47" ht="18.75" customHeight="1">
      <c r="B24" s="12"/>
      <c r="C24" s="209" t="s">
        <v>27</v>
      </c>
      <c r="D24" s="209"/>
      <c r="E24" s="209"/>
      <c r="F24" s="209"/>
      <c r="G24" s="209"/>
      <c r="H24" s="209"/>
      <c r="I24" s="209"/>
      <c r="J24" s="13"/>
      <c r="K24" s="197" t="s">
        <v>28</v>
      </c>
      <c r="L24" s="199" t="s">
        <v>29</v>
      </c>
      <c r="M24" s="199"/>
      <c r="N24" s="199"/>
      <c r="O24" s="201" t="s">
        <v>30</v>
      </c>
      <c r="P24" s="201"/>
      <c r="Q24" s="201"/>
      <c r="R24" s="203" t="s">
        <v>31</v>
      </c>
      <c r="S24" s="203"/>
      <c r="T24" s="203"/>
      <c r="U24" s="204"/>
      <c r="V24" s="205">
        <f>MIN((X6+X12+X18),'試算表計算用DB'!$E$2)</f>
        <v>225000</v>
      </c>
      <c r="W24" s="206"/>
      <c r="X24" s="206"/>
      <c r="Y24" s="206"/>
      <c r="Z24" s="206"/>
      <c r="AA24" s="206"/>
      <c r="AB24" s="210" t="s">
        <v>5</v>
      </c>
      <c r="AN24" s="46" t="s">
        <v>82</v>
      </c>
      <c r="AO24" s="28">
        <f>IF($AF$9=0,'試算表計算用DB'!$B$5,'試算表計算用DB'!$B$5+100000*('試算表 (例)'!$AF$9-1))</f>
        <v>730000</v>
      </c>
      <c r="AU24" s="59"/>
    </row>
    <row r="25" spans="2:47" ht="18.75" customHeight="1">
      <c r="B25" s="12"/>
      <c r="C25" s="57"/>
      <c r="D25" s="212" t="s">
        <v>32</v>
      </c>
      <c r="E25" s="212"/>
      <c r="F25" s="212"/>
      <c r="G25" s="212"/>
      <c r="H25" s="57"/>
      <c r="I25" s="57"/>
      <c r="J25" s="13"/>
      <c r="K25" s="198"/>
      <c r="L25" s="200"/>
      <c r="M25" s="200"/>
      <c r="N25" s="200"/>
      <c r="O25" s="202"/>
      <c r="P25" s="202"/>
      <c r="Q25" s="202"/>
      <c r="R25" s="196">
        <f>'試算表計算用DB'!E2</f>
        <v>650000</v>
      </c>
      <c r="S25" s="196"/>
      <c r="T25" s="196"/>
      <c r="U25" s="21" t="s">
        <v>5</v>
      </c>
      <c r="V25" s="207"/>
      <c r="W25" s="208"/>
      <c r="X25" s="208"/>
      <c r="Y25" s="208"/>
      <c r="Z25" s="208"/>
      <c r="AA25" s="208"/>
      <c r="AB25" s="211"/>
      <c r="AN25" s="46" t="s">
        <v>83</v>
      </c>
      <c r="AO25" s="28">
        <f>IF($AF$9=0,'試算表計算用DB'!$B$5+($AF$7*290000),'試算表計算用DB'!$B$5+($AF$7*290000+100000*('試算表 (例)'!$AF$9-1)))</f>
        <v>2180000</v>
      </c>
      <c r="AU25" s="59"/>
    </row>
    <row r="26" spans="2:47" ht="18.75" customHeight="1">
      <c r="B26" s="12"/>
      <c r="C26" s="57" t="s">
        <v>33</v>
      </c>
      <c r="D26" s="57"/>
      <c r="E26" s="57"/>
      <c r="F26" s="57"/>
      <c r="G26" s="57"/>
      <c r="H26" s="57"/>
      <c r="I26" s="57"/>
      <c r="J26" s="13"/>
      <c r="K26" s="197" t="s">
        <v>34</v>
      </c>
      <c r="L26" s="199" t="s">
        <v>35</v>
      </c>
      <c r="M26" s="199"/>
      <c r="N26" s="199"/>
      <c r="O26" s="201" t="s">
        <v>30</v>
      </c>
      <c r="P26" s="201"/>
      <c r="Q26" s="201"/>
      <c r="R26" s="203" t="s">
        <v>31</v>
      </c>
      <c r="S26" s="203"/>
      <c r="T26" s="203"/>
      <c r="U26" s="204"/>
      <c r="V26" s="205">
        <f>MIN((X8+X14+X20),'試算表計算用DB'!$E$3)</f>
        <v>100000</v>
      </c>
      <c r="W26" s="206"/>
      <c r="X26" s="206"/>
      <c r="Y26" s="206"/>
      <c r="Z26" s="206"/>
      <c r="AA26" s="206"/>
      <c r="AB26" s="210" t="s">
        <v>5</v>
      </c>
      <c r="AN26" s="46" t="s">
        <v>84</v>
      </c>
      <c r="AO26" s="28">
        <f>IF($AF$9=0,'試算表計算用DB'!$B$5+($AF$7*535000),'試算表計算用DB'!$B$5+($AF$7*535000+100000*('試算表 (例)'!$AF$9-1)))</f>
        <v>3405000</v>
      </c>
      <c r="AU26" s="59"/>
    </row>
    <row r="27" spans="2:47" ht="18.75" customHeight="1">
      <c r="B27" s="12"/>
      <c r="C27" s="57"/>
      <c r="D27" s="212" t="s">
        <v>37</v>
      </c>
      <c r="E27" s="212"/>
      <c r="F27" s="212"/>
      <c r="G27" s="212"/>
      <c r="H27" s="212"/>
      <c r="I27" s="212"/>
      <c r="J27" s="212"/>
      <c r="K27" s="198"/>
      <c r="L27" s="200"/>
      <c r="M27" s="200"/>
      <c r="N27" s="200"/>
      <c r="O27" s="202"/>
      <c r="P27" s="202"/>
      <c r="Q27" s="202"/>
      <c r="R27" s="196">
        <f>'試算表計算用DB'!E3</f>
        <v>220000</v>
      </c>
      <c r="S27" s="196"/>
      <c r="T27" s="196"/>
      <c r="U27" s="21" t="s">
        <v>5</v>
      </c>
      <c r="V27" s="207"/>
      <c r="W27" s="208"/>
      <c r="X27" s="208"/>
      <c r="Y27" s="208"/>
      <c r="Z27" s="208"/>
      <c r="AA27" s="208"/>
      <c r="AB27" s="211"/>
      <c r="AO27" s="47" t="str">
        <f>IF(AO22&lt;=AO26,IF(AO22&lt;=AO25,IF(AO22&lt;=AO24,"7割軽減","５割軽減"),"２割軽減"),"軽減無し")</f>
        <v>軽減無し</v>
      </c>
      <c r="AU27" s="59"/>
    </row>
    <row r="28" spans="2:47" ht="18.75" customHeight="1">
      <c r="B28" s="12"/>
      <c r="C28" s="15" t="s">
        <v>38</v>
      </c>
      <c r="D28" s="15"/>
      <c r="E28" s="15"/>
      <c r="F28" s="15"/>
      <c r="G28" s="15"/>
      <c r="H28" s="15"/>
      <c r="I28" s="15"/>
      <c r="J28" s="12"/>
      <c r="K28" s="197" t="s">
        <v>39</v>
      </c>
      <c r="L28" s="199" t="s">
        <v>40</v>
      </c>
      <c r="M28" s="199"/>
      <c r="N28" s="199"/>
      <c r="O28" s="201" t="s">
        <v>30</v>
      </c>
      <c r="P28" s="201"/>
      <c r="Q28" s="201"/>
      <c r="R28" s="203" t="s">
        <v>31</v>
      </c>
      <c r="S28" s="203"/>
      <c r="T28" s="203"/>
      <c r="U28" s="204"/>
      <c r="V28" s="205">
        <f>MIN((X10+X16+X22),'試算表計算用DB'!$E$4)</f>
        <v>0</v>
      </c>
      <c r="W28" s="206"/>
      <c r="X28" s="206"/>
      <c r="Y28" s="206"/>
      <c r="Z28" s="206"/>
      <c r="AA28" s="206"/>
      <c r="AB28" s="210" t="s">
        <v>5</v>
      </c>
      <c r="AC28" s="2" t="s">
        <v>10</v>
      </c>
      <c r="AU28" s="59"/>
    </row>
    <row r="29" spans="2:47" ht="18.75" customHeight="1">
      <c r="B29" s="12"/>
      <c r="C29" s="15"/>
      <c r="D29" s="16" t="s">
        <v>41</v>
      </c>
      <c r="E29" s="16"/>
      <c r="F29" s="16"/>
      <c r="G29" s="15"/>
      <c r="H29" s="15"/>
      <c r="I29" s="15"/>
      <c r="J29" s="12"/>
      <c r="K29" s="198"/>
      <c r="L29" s="200"/>
      <c r="M29" s="200"/>
      <c r="N29" s="200"/>
      <c r="O29" s="202"/>
      <c r="P29" s="202"/>
      <c r="Q29" s="202"/>
      <c r="R29" s="196">
        <f>'試算表計算用DB'!E4</f>
        <v>170000</v>
      </c>
      <c r="S29" s="196"/>
      <c r="T29" s="196"/>
      <c r="U29" s="21" t="s">
        <v>5</v>
      </c>
      <c r="V29" s="207"/>
      <c r="W29" s="208"/>
      <c r="X29" s="208"/>
      <c r="Y29" s="208"/>
      <c r="Z29" s="208"/>
      <c r="AA29" s="208"/>
      <c r="AB29" s="211"/>
      <c r="AU29" s="59"/>
    </row>
    <row r="30" spans="5:47" ht="19.5" customHeight="1">
      <c r="E30" s="213"/>
      <c r="F30" s="213"/>
      <c r="G30" s="213"/>
      <c r="H30" s="213"/>
      <c r="I30" s="213"/>
      <c r="J30" s="213"/>
      <c r="K30" s="214" t="s">
        <v>42</v>
      </c>
      <c r="L30" s="215"/>
      <c r="M30" s="215"/>
      <c r="N30" s="215"/>
      <c r="O30" s="216"/>
      <c r="P30" s="220" t="s">
        <v>43</v>
      </c>
      <c r="Q30" s="220"/>
      <c r="R30" s="220"/>
      <c r="S30" s="220"/>
      <c r="T30" s="220"/>
      <c r="U30" s="56"/>
      <c r="V30" s="205">
        <f>V24+V26+V28</f>
        <v>325000</v>
      </c>
      <c r="W30" s="206"/>
      <c r="X30" s="206"/>
      <c r="Y30" s="206"/>
      <c r="Z30" s="206"/>
      <c r="AA30" s="206"/>
      <c r="AB30" s="210" t="s">
        <v>5</v>
      </c>
      <c r="AU30" s="59"/>
    </row>
    <row r="31" spans="11:47" ht="19.5" customHeight="1" thickBot="1">
      <c r="K31" s="217"/>
      <c r="L31" s="218"/>
      <c r="M31" s="218"/>
      <c r="N31" s="218"/>
      <c r="O31" s="219"/>
      <c r="P31" s="221" t="s">
        <v>44</v>
      </c>
      <c r="Q31" s="221"/>
      <c r="R31" s="221"/>
      <c r="S31" s="221"/>
      <c r="T31" s="221"/>
      <c r="U31" s="221"/>
      <c r="V31" s="207"/>
      <c r="W31" s="208"/>
      <c r="X31" s="208"/>
      <c r="Y31" s="208"/>
      <c r="Z31" s="208"/>
      <c r="AA31" s="208"/>
      <c r="AB31" s="211"/>
      <c r="AU31" s="59"/>
    </row>
    <row r="32" spans="11:47" ht="17.25" customHeight="1">
      <c r="K32" s="222" t="s">
        <v>45</v>
      </c>
      <c r="L32" s="223"/>
      <c r="M32" s="223"/>
      <c r="N32" s="223"/>
      <c r="O32" s="224"/>
      <c r="P32" s="22"/>
      <c r="Q32" s="231" t="s">
        <v>54</v>
      </c>
      <c r="R32" s="231"/>
      <c r="S32" s="23"/>
      <c r="T32" s="231" t="s">
        <v>55</v>
      </c>
      <c r="U32" s="232"/>
      <c r="V32" s="233">
        <f>ROUNDDOWN(V34*R33,-2)</f>
        <v>0</v>
      </c>
      <c r="W32" s="234"/>
      <c r="X32" s="234"/>
      <c r="Y32" s="234"/>
      <c r="Z32" s="234"/>
      <c r="AA32" s="234"/>
      <c r="AB32" s="108" t="s">
        <v>5</v>
      </c>
      <c r="AD32" s="247" t="s">
        <v>92</v>
      </c>
      <c r="AE32" s="248"/>
      <c r="AF32" s="248"/>
      <c r="AG32" s="248"/>
      <c r="AH32" s="248"/>
      <c r="AI32" s="249"/>
      <c r="AJ32" s="61"/>
      <c r="AK32" s="61"/>
      <c r="AU32" s="59"/>
    </row>
    <row r="33" spans="11:47" ht="17.25" customHeight="1">
      <c r="K33" s="225"/>
      <c r="L33" s="226"/>
      <c r="M33" s="226"/>
      <c r="N33" s="226"/>
      <c r="O33" s="227"/>
      <c r="P33" s="24"/>
      <c r="Q33" s="25" t="s">
        <v>56</v>
      </c>
      <c r="R33" s="26">
        <f>DATEDIF(P32,S32-DAY(S32)+1,"M")+INT(DATEDIF(S32-DAY(S32),S32,"D")/DAY(DATE(YEAR(S32),MONTH(S32)+1,0)))</f>
        <v>0</v>
      </c>
      <c r="S33" s="237" t="s">
        <v>57</v>
      </c>
      <c r="T33" s="237"/>
      <c r="U33" s="238"/>
      <c r="V33" s="235"/>
      <c r="W33" s="236"/>
      <c r="X33" s="236"/>
      <c r="Y33" s="236"/>
      <c r="Z33" s="236"/>
      <c r="AA33" s="236"/>
      <c r="AB33" s="118"/>
      <c r="AD33" s="250"/>
      <c r="AE33" s="251"/>
      <c r="AF33" s="251"/>
      <c r="AG33" s="251"/>
      <c r="AH33" s="251"/>
      <c r="AI33" s="252"/>
      <c r="AJ33" s="61"/>
      <c r="AK33" s="61"/>
      <c r="AU33" s="59"/>
    </row>
    <row r="34" spans="11:47" ht="27.75" customHeight="1">
      <c r="K34" s="225"/>
      <c r="L34" s="226"/>
      <c r="M34" s="226"/>
      <c r="N34" s="226"/>
      <c r="O34" s="227"/>
      <c r="P34" s="239" t="s">
        <v>46</v>
      </c>
      <c r="Q34" s="240"/>
      <c r="R34" s="240"/>
      <c r="S34" s="240"/>
      <c r="T34" s="240"/>
      <c r="U34" s="241"/>
      <c r="V34" s="235">
        <f>V30/12</f>
        <v>27083.333333333332</v>
      </c>
      <c r="W34" s="236"/>
      <c r="X34" s="236"/>
      <c r="Y34" s="236"/>
      <c r="Z34" s="236"/>
      <c r="AA34" s="236"/>
      <c r="AB34" s="54" t="s">
        <v>5</v>
      </c>
      <c r="AD34" s="250"/>
      <c r="AE34" s="251"/>
      <c r="AF34" s="251"/>
      <c r="AG34" s="251"/>
      <c r="AH34" s="251"/>
      <c r="AI34" s="252"/>
      <c r="AJ34" s="61"/>
      <c r="AK34" s="61"/>
      <c r="AU34" s="59"/>
    </row>
    <row r="35" spans="11:47" ht="27.75" customHeight="1" thickBot="1">
      <c r="K35" s="228"/>
      <c r="L35" s="229"/>
      <c r="M35" s="229"/>
      <c r="N35" s="229"/>
      <c r="O35" s="230"/>
      <c r="P35" s="242" t="s">
        <v>47</v>
      </c>
      <c r="Q35" s="243"/>
      <c r="R35" s="243"/>
      <c r="S35" s="243"/>
      <c r="T35" s="243"/>
      <c r="U35" s="244"/>
      <c r="V35" s="245"/>
      <c r="W35" s="246"/>
      <c r="X35" s="246"/>
      <c r="Y35" s="246"/>
      <c r="Z35" s="246"/>
      <c r="AA35" s="246"/>
      <c r="AB35" s="55" t="s">
        <v>5</v>
      </c>
      <c r="AD35" s="253"/>
      <c r="AE35" s="254"/>
      <c r="AF35" s="254"/>
      <c r="AG35" s="254"/>
      <c r="AH35" s="254"/>
      <c r="AI35" s="255"/>
      <c r="AJ35" s="61"/>
      <c r="AK35" s="61"/>
      <c r="AU35" s="59"/>
    </row>
    <row r="36" spans="2:47" ht="12.75" customHeight="1">
      <c r="B36" s="19"/>
      <c r="C36" s="19"/>
      <c r="AU36" s="59"/>
    </row>
    <row r="37" ht="13.5">
      <c r="AU37" s="59"/>
    </row>
    <row r="38" ht="15" customHeight="1">
      <c r="AU38" s="5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114">
    <mergeCell ref="AD32:AI35"/>
    <mergeCell ref="D1:J2"/>
    <mergeCell ref="L1:Z2"/>
    <mergeCell ref="C4:Z4"/>
    <mergeCell ref="B6:B11"/>
    <mergeCell ref="C6:G8"/>
    <mergeCell ref="H6:Q7"/>
    <mergeCell ref="R6:T7"/>
    <mergeCell ref="U6:W7"/>
    <mergeCell ref="X6:AA7"/>
    <mergeCell ref="C9:G9"/>
    <mergeCell ref="C10:G10"/>
    <mergeCell ref="H10:Q11"/>
    <mergeCell ref="R10:T11"/>
    <mergeCell ref="U10:W11"/>
    <mergeCell ref="X10:AA11"/>
    <mergeCell ref="AB10:AB11"/>
    <mergeCell ref="C11:G11"/>
    <mergeCell ref="AB6:AB7"/>
    <mergeCell ref="H8:Q9"/>
    <mergeCell ref="R8:T9"/>
    <mergeCell ref="U8:W9"/>
    <mergeCell ref="X8:AA9"/>
    <mergeCell ref="AB8:AB9"/>
    <mergeCell ref="AB12:AB13"/>
    <mergeCell ref="H14:K15"/>
    <mergeCell ref="L14:O15"/>
    <mergeCell ref="P14:P15"/>
    <mergeCell ref="R14:R15"/>
    <mergeCell ref="S14:S15"/>
    <mergeCell ref="B12:B23"/>
    <mergeCell ref="C12:G14"/>
    <mergeCell ref="H12:K13"/>
    <mergeCell ref="L12:O13"/>
    <mergeCell ref="P12:P13"/>
    <mergeCell ref="R12:R13"/>
    <mergeCell ref="C21:G23"/>
    <mergeCell ref="H22:K23"/>
    <mergeCell ref="L22:O23"/>
    <mergeCell ref="P22:P23"/>
    <mergeCell ref="C18:G20"/>
    <mergeCell ref="H18:K19"/>
    <mergeCell ref="L18:O19"/>
    <mergeCell ref="P18:P19"/>
    <mergeCell ref="C15:G17"/>
    <mergeCell ref="H16:K17"/>
    <mergeCell ref="L16:O17"/>
    <mergeCell ref="P16:P17"/>
    <mergeCell ref="R16:R17"/>
    <mergeCell ref="S12:S13"/>
    <mergeCell ref="T12:T13"/>
    <mergeCell ref="U12:W13"/>
    <mergeCell ref="X12:AA13"/>
    <mergeCell ref="U18:W19"/>
    <mergeCell ref="X18:AA19"/>
    <mergeCell ref="T14:T15"/>
    <mergeCell ref="U14:W15"/>
    <mergeCell ref="X14:AA15"/>
    <mergeCell ref="S16:S17"/>
    <mergeCell ref="AB18:AB19"/>
    <mergeCell ref="H20:K21"/>
    <mergeCell ref="L20:O21"/>
    <mergeCell ref="P20:P21"/>
    <mergeCell ref="U20:W21"/>
    <mergeCell ref="X20:AA21"/>
    <mergeCell ref="AB20:AB21"/>
    <mergeCell ref="T16:T17"/>
    <mergeCell ref="U16:W17"/>
    <mergeCell ref="X16:AA17"/>
    <mergeCell ref="AB16:AB17"/>
    <mergeCell ref="AB14:AB15"/>
    <mergeCell ref="D25:G25"/>
    <mergeCell ref="R25:T25"/>
    <mergeCell ref="K26:K27"/>
    <mergeCell ref="L26:N27"/>
    <mergeCell ref="O26:Q27"/>
    <mergeCell ref="R26:U26"/>
    <mergeCell ref="U22:W23"/>
    <mergeCell ref="X22:AA23"/>
    <mergeCell ref="AB22:AB23"/>
    <mergeCell ref="C24:I24"/>
    <mergeCell ref="K24:K25"/>
    <mergeCell ref="L24:N25"/>
    <mergeCell ref="O24:Q25"/>
    <mergeCell ref="R24:U24"/>
    <mergeCell ref="V24:AA25"/>
    <mergeCell ref="AB24:AB25"/>
    <mergeCell ref="R29:T29"/>
    <mergeCell ref="E30:J30"/>
    <mergeCell ref="K30:O31"/>
    <mergeCell ref="P30:T30"/>
    <mergeCell ref="V30:AA31"/>
    <mergeCell ref="AB30:AB31"/>
    <mergeCell ref="P31:U31"/>
    <mergeCell ref="V26:AA27"/>
    <mergeCell ref="AB26:AB27"/>
    <mergeCell ref="D27:J27"/>
    <mergeCell ref="R27:T27"/>
    <mergeCell ref="K28:K29"/>
    <mergeCell ref="L28:N29"/>
    <mergeCell ref="O28:Q29"/>
    <mergeCell ref="R28:U28"/>
    <mergeCell ref="V28:AA29"/>
    <mergeCell ref="AB28:AB29"/>
    <mergeCell ref="K32:O35"/>
    <mergeCell ref="Q32:R32"/>
    <mergeCell ref="T32:U32"/>
    <mergeCell ref="V32:AA33"/>
    <mergeCell ref="AB32:AB33"/>
    <mergeCell ref="S33:U33"/>
    <mergeCell ref="P34:U34"/>
    <mergeCell ref="V34:AA34"/>
    <mergeCell ref="P35:U35"/>
    <mergeCell ref="V35:AA35"/>
  </mergeCells>
  <dataValidations count="2">
    <dataValidation type="list" allowBlank="1" showInputMessage="1" showErrorMessage="1" sqref="AE12:AE21">
      <formula1>"被保険者,"</formula1>
    </dataValidation>
    <dataValidation type="list" allowBlank="1" showInputMessage="1" showErrorMessage="1" sqref="AE11">
      <formula1>"世帯主,擬制世帯主"</formula1>
    </dataValidation>
  </dataValidations>
  <printOptions/>
  <pageMargins left="0.7086614173228347" right="0.2362204724409449" top="0.7086614173228347" bottom="0.2755905511811024" header="0.5118110236220472" footer="0.1968503937007874"/>
  <pageSetup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5" ht="13.5">
      <c r="A1" s="32"/>
      <c r="B1" s="33" t="s">
        <v>69</v>
      </c>
      <c r="C1" s="33" t="s">
        <v>70</v>
      </c>
      <c r="D1" s="33" t="s">
        <v>63</v>
      </c>
      <c r="E1" s="33" t="s">
        <v>67</v>
      </c>
    </row>
    <row r="2" spans="1:5" ht="13.5">
      <c r="A2" s="32" t="s">
        <v>64</v>
      </c>
      <c r="B2" s="28">
        <v>10000</v>
      </c>
      <c r="C2" s="28">
        <v>20000</v>
      </c>
      <c r="D2" s="32">
        <v>0.07</v>
      </c>
      <c r="E2" s="28">
        <v>650000</v>
      </c>
    </row>
    <row r="3" spans="1:5" ht="13.5">
      <c r="A3" s="32" t="s">
        <v>65</v>
      </c>
      <c r="B3" s="28">
        <v>7000</v>
      </c>
      <c r="C3" s="28">
        <v>7000</v>
      </c>
      <c r="D3" s="32">
        <v>0.026</v>
      </c>
      <c r="E3" s="28">
        <v>220000</v>
      </c>
    </row>
    <row r="4" spans="1:5" ht="13.5">
      <c r="A4" s="32" t="s">
        <v>66</v>
      </c>
      <c r="B4" s="28">
        <v>9000</v>
      </c>
      <c r="C4" s="28">
        <v>6000</v>
      </c>
      <c r="D4" s="32">
        <v>0.022</v>
      </c>
      <c r="E4" s="28">
        <v>170000</v>
      </c>
    </row>
    <row r="5" spans="1:5" ht="13.5">
      <c r="A5" s="32" t="s">
        <v>68</v>
      </c>
      <c r="B5" s="28">
        <v>430000</v>
      </c>
      <c r="C5" s="30"/>
      <c r="D5" s="30"/>
      <c r="E5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税務課</cp:lastModifiedBy>
  <cp:lastPrinted>2023-05-24T23:50:26Z</cp:lastPrinted>
  <dcterms:created xsi:type="dcterms:W3CDTF">2013-07-05T02:39:34Z</dcterms:created>
  <dcterms:modified xsi:type="dcterms:W3CDTF">2023-10-20T01:49:57Z</dcterms:modified>
  <cp:category/>
  <cp:version/>
  <cp:contentType/>
  <cp:contentStatus/>
</cp:coreProperties>
</file>